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lA3cv8LJtpEUtjuNMSbQ7RM2YkL6x/unZt5B1ynGI5kLgCWyv27zoIC2JY/AccwD80Zw5bpN9KTdRLVL6Y7Uow==" workbookSaltValue="g0j935cy/PaBmxbDAO2R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Y32" i="20"/>
  <c r="L32" i="20"/>
  <c r="H32" i="20"/>
  <c r="F32" i="20"/>
  <c r="G26" i="14"/>
  <c r="S32" i="20"/>
  <c r="AQ32" i="21"/>
  <c r="AJ32" i="20"/>
  <c r="G30" i="14"/>
  <c r="G23" i="14"/>
  <c r="U18" i="11"/>
  <c r="AX32" i="20"/>
  <c r="AG32" i="20"/>
  <c r="T32" i="21"/>
  <c r="AF32" i="20"/>
  <c r="K32" i="20"/>
  <c r="O17" i="11"/>
  <c r="L17" i="14" l="1"/>
  <c r="BF17" i="8"/>
  <c r="F28" i="2"/>
  <c r="F16" i="11"/>
  <c r="AQ16" i="11" s="1"/>
  <c r="R8" i="9"/>
  <c r="X12" i="21" s="1"/>
  <c r="P13" i="14"/>
  <c r="BE17" i="13"/>
  <c r="BF16" i="13"/>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K9" i="12"/>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BH25" i="11"/>
  <c r="BK10" i="11"/>
  <c r="BI21" i="11"/>
  <c r="L22" i="2"/>
  <c r="X22" i="16"/>
  <c r="S16" i="17"/>
  <c r="S17" i="17"/>
  <c r="L12" i="2"/>
  <c r="X19" i="16"/>
  <c r="X10" i="21"/>
  <c r="L20" i="2"/>
  <c r="U9" i="17"/>
  <c r="U31" i="17" s="1"/>
  <c r="V10" i="16"/>
  <c r="V9" i="16"/>
  <c r="X13" i="16"/>
  <c r="V16" i="11"/>
  <c r="BF13" i="11"/>
  <c r="BG25" i="11"/>
  <c r="Q18" i="20"/>
  <c r="Q23" i="20" s="1"/>
  <c r="BF18" i="11"/>
  <c r="BG22" i="11"/>
  <c r="AZ19" i="11"/>
  <c r="V12" i="21"/>
  <c r="V14" i="21" s="1"/>
  <c r="V31" i="21" s="1"/>
  <c r="BK11" i="11"/>
  <c r="AP10" i="21"/>
  <c r="BH20" i="16"/>
  <c r="BH22" i="16"/>
  <c r="BJ20" i="11"/>
  <c r="BH13" i="11"/>
  <c r="BH18" i="11"/>
  <c r="AO28" i="17"/>
  <c r="AZ16" i="11"/>
  <c r="AZ23" i="11" s="1"/>
  <c r="BW19" i="20"/>
  <c r="BW33" i="20" s="1"/>
  <c r="BU10" i="17"/>
  <c r="BU22" i="17"/>
  <c r="BU20" i="17"/>
  <c r="BW22" i="20"/>
  <c r="BW21" i="20"/>
  <c r="S28" i="17"/>
  <c r="T16" i="11"/>
  <c r="Q18" i="17"/>
  <c r="Q23" i="17" s="1"/>
  <c r="Q31" i="17" s="1"/>
  <c r="BH10" i="11"/>
  <c r="AQ10" i="21"/>
  <c r="AO29" i="17"/>
  <c r="S10" i="17"/>
  <c r="BI29" i="11"/>
  <c r="BG17" i="11"/>
  <c r="P17" i="11" s="1"/>
  <c r="BM21" i="11"/>
  <c r="AO25" i="17"/>
  <c r="BJ17" i="11"/>
  <c r="BL17" i="11"/>
  <c r="BH22" i="11"/>
  <c r="L28" i="2"/>
  <c r="L17" i="2"/>
  <c r="AA11" i="16"/>
  <c r="AZ18" i="11"/>
  <c r="AP21" i="20"/>
  <c r="BJ11" i="11"/>
  <c r="R10" i="21"/>
  <c r="BG16" i="11"/>
  <c r="BL13" i="11"/>
  <c r="P13" i="11" s="1"/>
  <c r="BM16" i="11"/>
  <c r="BJ25" i="11"/>
  <c r="BU16" i="17"/>
  <c r="X20" i="16"/>
  <c r="BW25" i="20"/>
  <c r="U13" i="17"/>
  <c r="BW29" i="20"/>
  <c r="BV29" i="16"/>
  <c r="BV9" i="16"/>
  <c r="BG12" i="11"/>
  <c r="BI20" i="11"/>
  <c r="BI9" i="11"/>
  <c r="BL28" i="11"/>
  <c r="BL10" i="11"/>
  <c r="BH10" i="16"/>
  <c r="BH11" i="11"/>
  <c r="BM9" i="11"/>
  <c r="BH12" i="16"/>
  <c r="X21" i="20"/>
  <c r="L18" i="2"/>
  <c r="X16" i="16"/>
  <c r="X23" i="16" s="1"/>
  <c r="V25" i="16"/>
  <c r="BH16" i="16"/>
  <c r="BF28" i="11"/>
  <c r="BG20" i="11"/>
  <c r="BK29" i="11"/>
  <c r="AZ17" i="11"/>
  <c r="S18" i="17"/>
  <c r="BK22" i="11"/>
  <c r="L10" i="2"/>
  <c r="L16" i="2"/>
  <c r="L9" i="2"/>
  <c r="X12" i="17"/>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L31" i="21"/>
  <c r="BH14" i="11"/>
  <c r="Q31" i="20"/>
  <c r="AQ17" i="11"/>
  <c r="P25" i="11"/>
  <c r="P12" i="11"/>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<sst xmlns="http://schemas.openxmlformats.org/spreadsheetml/2006/main" count="2682" uniqueCount="1192">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</sst>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xMdVeCSGgfd4gZalbreylG+08IN5ZrwSfX91OZ6I7bEJ9RHETw+PHV3I5aAFWrIr9Vtf31RYa2PxOyc2D8nVA==" saltValue="T7ZK9tyuDwUOrjPM80OP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3</v>
      </c>
      <c r="F10" s="240">
        <f>IF(ISNUMBER(Datos!K10),Datos!K10," - ")</f>
        <v>5</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-0.11764705882352941</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24.309294871794872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536</v>
      </c>
      <c r="D17" s="239">
        <f>IF(ISNUMBER(IF(D_I="SI",Datos!I17,Datos!I17+Datos!AC17)),IF(D_I="SI",Datos!I17,Datos!I17+Datos!AC17)," - ")</f>
        <v>523</v>
      </c>
      <c r="E17" s="240">
        <f>IF(ISNUMBER(IF(D_I="SI",Datos!J17,Datos!J17+Datos!AD17)),IF(D_I="SI",Datos!J17,Datos!J17+Datos!AD17)," - ")</f>
        <v>608</v>
      </c>
      <c r="F17" s="240">
        <f>IF(ISNUMBER(IF(D_I="SI",Datos!K17,Datos!K17+Datos!AE17)),IF(D_I="SI",Datos!K17,Datos!K17+Datos!AE17)," - ")</f>
        <v>574</v>
      </c>
      <c r="G17" s="1390" t="str">
        <f>IF(Datos!E17&lt;&gt;"",Datos!E17,Datos!D17)</f>
        <v>04</v>
      </c>
      <c r="H17" s="241">
        <f>IF(ISNUMBER(IF(D_I="SI",Datos!L17,Datos!L17+Datos!AF17)),IF(D_I="SI",Datos!L17,Datos!L17+Datos!AF17)," - ")</f>
        <v>570</v>
      </c>
      <c r="I17" s="1400" t="str">
        <f>IF(ISNUMBER(Datos!AS17/Datos!BM17),Datos!AS17/Datos!BM17," - ")</f>
        <v xml:space="preserve"> - </v>
      </c>
      <c r="J17" s="1401">
        <f>IF(ISNUMBER(Datos!BY17/Datos!CN17),Datos!BY17/Datos!CN17," - ")</f>
        <v>0</v>
      </c>
      <c r="K17" s="244">
        <f t="shared" si="3"/>
        <v>6.3432835820895525E-2</v>
      </c>
      <c r="L17" s="1402">
        <f>IF(ISNUMBER(NºAsuntos!I17/NºAsuntos!G17),(NºAsuntos!I17/NºAsuntos!G17)*11," - ")</f>
        <v>10.923344947735192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20</v>
      </c>
      <c r="E18" s="240">
        <f>IF(ISNUMBER(IF(D_I="SI",Datos!J18,Datos!J18+Datos!AD18)),IF(D_I="SI",Datos!J18,Datos!J18+Datos!AD18)," - ")</f>
        <v>46</v>
      </c>
      <c r="F18" s="240">
        <f>IF(ISNUMBER(IF(D_I="SI",Datos!K18,Datos!K18+Datos!AE18)),IF(D_I="SI",Datos!K18,Datos!K18+Datos!AE18)," - ")</f>
        <v>45</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4.5454545454545456E-2</v>
      </c>
      <c r="L18" s="1402">
        <f>IF(ISNUMBER(NºAsuntos!I18/NºAsuntos!G18),(NºAsuntos!I18/NºAsuntos!G18)*11," - ")</f>
        <v>5.6222222222222218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558</v>
      </c>
      <c r="D23" s="1407">
        <f>SUBTOTAL(9,D16:D22)</f>
        <v>543</v>
      </c>
      <c r="E23" s="1408">
        <f>SUBTOTAL(9,E16:E22)</f>
        <v>654</v>
      </c>
      <c r="F23" s="1408">
        <f>SUBTOTAL(9,F16:F22)</f>
        <v>619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575</v>
      </c>
      <c r="D31" s="1435">
        <f>SUBTOTAL(9,D9:D30)</f>
        <v>560</v>
      </c>
      <c r="E31" s="1436">
        <f>SUBTOTAL(9,E9:E30)</f>
        <v>657</v>
      </c>
      <c r="F31" s="1436">
        <f>SUBTOTAL(9,F9:F30)</f>
        <v>624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NSaoBtRwWZ0k8ju253oI3LiZP+vrP1wXu9Yt+5nP3R8dsWM/J1JELInsEicXhi33wKripceZ7W4CrHMDZPhgA==" saltValue="PURQpg7iedwRhyQXIFiA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unHsQ5O0bkZJzX5iKfCOB0wzjjD0i3cuU2Xn6k7sxWtJJ0VERDEKIqZxMcavrKEjrBboXFW5JZeXWtyIhqReg==" saltValue="cCrH6xRkK2E3gB6Mlpga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3</v>
      </c>
      <c r="K10" s="194">
        <v>5</v>
      </c>
      <c r="L10" s="194">
        <v>15</v>
      </c>
      <c r="M10" s="194">
        <v>2</v>
      </c>
      <c r="N10" s="194">
        <v>0</v>
      </c>
      <c r="O10" s="194">
        <v>1</v>
      </c>
      <c r="P10" s="194">
        <v>0</v>
      </c>
      <c r="Q10" s="194">
        <v>0</v>
      </c>
      <c r="R10" s="194">
        <v>10</v>
      </c>
      <c r="S10" s="194">
        <v>12</v>
      </c>
      <c r="T10" s="194">
        <v>3</v>
      </c>
      <c r="U10" s="194">
        <v>3</v>
      </c>
      <c r="V10" s="194">
        <v>12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3</v>
      </c>
      <c r="BA10" s="139">
        <f t="shared" si="0"/>
        <v>3</v>
      </c>
      <c r="BB10" s="139">
        <f t="shared" si="0"/>
        <v>12</v>
      </c>
      <c r="BC10" s="135">
        <f t="shared" si="0"/>
        <v>3</v>
      </c>
      <c r="BD10" s="136">
        <f>IF(ISNUMBER(BA10/AZ10),BA10/AZ10," - ")</f>
        <v>1</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1191</v>
      </c>
      <c r="J12" s="196">
        <v>692</v>
      </c>
      <c r="K12" s="196">
        <v>556</v>
      </c>
      <c r="L12" s="196">
        <v>1327</v>
      </c>
      <c r="M12" s="196">
        <v>192</v>
      </c>
      <c r="N12" s="196">
        <v>276</v>
      </c>
      <c r="O12" s="194">
        <v>238</v>
      </c>
      <c r="P12" s="196">
        <v>163</v>
      </c>
      <c r="Q12" s="196">
        <v>120</v>
      </c>
      <c r="R12" s="196">
        <v>1913</v>
      </c>
      <c r="S12" s="196">
        <v>1198</v>
      </c>
      <c r="T12" s="196">
        <v>529</v>
      </c>
      <c r="U12" s="196">
        <v>467</v>
      </c>
      <c r="V12" s="196">
        <v>1260</v>
      </c>
      <c r="W12" s="196">
        <v>175</v>
      </c>
      <c r="X12" s="202">
        <v>179</v>
      </c>
      <c r="Y12" s="204">
        <v>68</v>
      </c>
      <c r="Z12" s="194">
        <v>52</v>
      </c>
      <c r="AA12" s="194">
        <v>68</v>
      </c>
      <c r="AB12" s="194">
        <v>52</v>
      </c>
      <c r="AC12" s="196">
        <v>0</v>
      </c>
      <c r="AD12" s="196">
        <v>0</v>
      </c>
      <c r="AE12" s="196">
        <v>0</v>
      </c>
      <c r="AF12" s="202">
        <v>0</v>
      </c>
      <c r="AG12" s="215">
        <v>60</v>
      </c>
      <c r="AH12" s="196">
        <v>46</v>
      </c>
      <c r="AI12" s="196">
        <v>41</v>
      </c>
      <c r="AJ12" s="216">
        <v>65</v>
      </c>
      <c r="AK12" s="195">
        <v>0</v>
      </c>
      <c r="AL12" s="196">
        <v>0</v>
      </c>
      <c r="AM12" s="196">
        <v>0</v>
      </c>
      <c r="AN12" s="202">
        <v>0</v>
      </c>
      <c r="AO12" s="283">
        <v>4</v>
      </c>
      <c r="AP12" s="168">
        <v>4</v>
      </c>
      <c r="AQ12" s="168">
        <v>4</v>
      </c>
      <c r="AR12" s="167">
        <v>4</v>
      </c>
      <c r="AS12" s="381" t="s">
        <v>1075</v>
      </c>
      <c r="AT12" s="216"/>
      <c r="AU12" s="215"/>
      <c r="AV12" s="216"/>
      <c r="AW12" s="215"/>
      <c r="AX12" s="216"/>
      <c r="AY12" s="136">
        <f t="shared" si="1"/>
        <v>1258</v>
      </c>
      <c r="AZ12" s="137">
        <f t="shared" si="1"/>
        <v>575</v>
      </c>
      <c r="BA12" s="137">
        <f t="shared" si="1"/>
        <v>508</v>
      </c>
      <c r="BB12" s="137">
        <f t="shared" si="1"/>
        <v>1325</v>
      </c>
      <c r="BC12" s="135">
        <f>IF(ISNUMBER(X12),X12," - ")</f>
        <v>179</v>
      </c>
      <c r="BD12" s="136">
        <f t="shared" si="2"/>
        <v>0.88347826086956527</v>
      </c>
      <c r="BE12" s="137">
        <f t="shared" si="3"/>
        <v>2.6082677165354329</v>
      </c>
      <c r="BF12" s="137">
        <f t="shared" si="4"/>
        <v>0.35236220472440943</v>
      </c>
      <c r="BG12" s="209">
        <f t="shared" si="5"/>
        <v>3.6082677165354329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1208</v>
      </c>
      <c r="J14" s="197">
        <f t="shared" si="7"/>
        <v>695</v>
      </c>
      <c r="K14" s="197">
        <f t="shared" si="7"/>
        <v>561</v>
      </c>
      <c r="L14" s="197">
        <f t="shared" si="7"/>
        <v>1342</v>
      </c>
      <c r="M14" s="197">
        <f t="shared" si="7"/>
        <v>194</v>
      </c>
      <c r="N14" s="197">
        <f t="shared" si="7"/>
        <v>276</v>
      </c>
      <c r="O14" s="197">
        <f t="shared" si="7"/>
        <v>239</v>
      </c>
      <c r="P14" s="197">
        <f t="shared" si="7"/>
        <v>163</v>
      </c>
      <c r="Q14" s="197">
        <f t="shared" si="7"/>
        <v>120</v>
      </c>
      <c r="R14" s="197">
        <f t="shared" si="7"/>
        <v>1923</v>
      </c>
      <c r="S14" s="197">
        <f t="shared" si="7"/>
        <v>1210</v>
      </c>
      <c r="T14" s="197">
        <f t="shared" si="7"/>
        <v>532</v>
      </c>
      <c r="U14" s="197">
        <f t="shared" si="7"/>
        <v>470</v>
      </c>
      <c r="V14" s="197">
        <f t="shared" si="7"/>
        <v>1272</v>
      </c>
      <c r="W14" s="197">
        <f t="shared" si="7"/>
        <v>178</v>
      </c>
      <c r="X14" s="197">
        <f t="shared" si="7"/>
        <v>179</v>
      </c>
      <c r="Y14" s="197">
        <f t="shared" si="7"/>
        <v>68</v>
      </c>
      <c r="Z14" s="197">
        <f t="shared" si="7"/>
        <v>52</v>
      </c>
      <c r="AA14" s="197">
        <f t="shared" si="7"/>
        <v>68</v>
      </c>
      <c r="AB14" s="197">
        <f t="shared" si="7"/>
        <v>52</v>
      </c>
      <c r="AC14" s="197">
        <f t="shared" si="7"/>
        <v>0</v>
      </c>
      <c r="AD14" s="197">
        <f t="shared" si="7"/>
        <v>0</v>
      </c>
      <c r="AE14" s="197">
        <f t="shared" si="7"/>
        <v>0</v>
      </c>
      <c r="AF14" s="197">
        <f>SUBTOTAL(9,AF9:AF13)</f>
        <v>0</v>
      </c>
      <c r="AG14" s="197">
        <f t="shared" ref="AG14:AT14" si="8">SUBTOTAL(9,AG8:AG13)</f>
        <v>60</v>
      </c>
      <c r="AH14" s="197">
        <f t="shared" si="8"/>
        <v>46</v>
      </c>
      <c r="AI14" s="197">
        <f t="shared" si="8"/>
        <v>41</v>
      </c>
      <c r="AJ14" s="197">
        <f t="shared" si="8"/>
        <v>65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1270</v>
      </c>
      <c r="AZ14" s="197">
        <f>SUBTOTAL(9,AZ8:AZ13)</f>
        <v>578</v>
      </c>
      <c r="BA14" s="197">
        <f>SUBTOTAL(9,BA8:BA13)</f>
        <v>511</v>
      </c>
      <c r="BB14" s="197">
        <f>SUBTOTAL(9,BB8:BB13)</f>
        <v>1337</v>
      </c>
      <c r="BC14" s="197">
        <f>SUBTOTAL(9,BC8:BC13)</f>
        <v>182</v>
      </c>
      <c r="BD14" s="219">
        <f>IF(ISNUMBER(BA14/AZ14),BA14/AZ14," - ")</f>
        <v>0.88408304498269896</v>
      </c>
      <c r="BE14" s="220">
        <f>IF(ISNUMBER(BB14/BA14),BB14/BA14, " - ")</f>
        <v>2.6164383561643834</v>
      </c>
      <c r="BF14" s="220">
        <f>IF(ISNUMBER(BC14/BA14),BC14/BA14, " - ")</f>
        <v>0.35616438356164382</v>
      </c>
      <c r="BG14" s="221">
        <f>IF(ISNUMBER((AY14+AZ14)/BA14),(AY14+AZ14)/BA14," - ")</f>
        <v>3.6164383561643834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523</v>
      </c>
      <c r="J17" s="196">
        <v>608</v>
      </c>
      <c r="K17" s="196">
        <v>574</v>
      </c>
      <c r="L17" s="196">
        <v>570</v>
      </c>
      <c r="M17" s="196">
        <v>76</v>
      </c>
      <c r="N17" s="196">
        <v>329</v>
      </c>
      <c r="O17" s="194">
        <v>33</v>
      </c>
      <c r="P17" s="196">
        <v>44</v>
      </c>
      <c r="Q17" s="196">
        <v>35</v>
      </c>
      <c r="R17" s="196">
        <v>189</v>
      </c>
      <c r="S17" s="196">
        <v>600</v>
      </c>
      <c r="T17" s="196">
        <v>559</v>
      </c>
      <c r="U17" s="196">
        <v>575</v>
      </c>
      <c r="V17" s="196">
        <v>593</v>
      </c>
      <c r="W17" s="196">
        <v>87</v>
      </c>
      <c r="X17" s="202">
        <v>304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600</v>
      </c>
      <c r="AZ17" s="137">
        <f t="shared" si="10"/>
        <v>559</v>
      </c>
      <c r="BA17" s="137">
        <f t="shared" si="10"/>
        <v>575</v>
      </c>
      <c r="BB17" s="137">
        <f t="shared" si="10"/>
        <v>593</v>
      </c>
      <c r="BC17" s="135">
        <f>IF(ISNUMBER(W17),W17," - ")</f>
        <v>87</v>
      </c>
      <c r="BD17" s="136">
        <f t="shared" ref="BD17:BD22" si="12">IF(ISNUMBER(BA17/AZ17),BA17/AZ17," - ")</f>
        <v>1.0286225402504472</v>
      </c>
      <c r="BE17" s="137">
        <f t="shared" ref="BE17:BE22" si="13">IF(ISNUMBER(BB17/BA17),BB17/BA17, " - ")</f>
        <v>1.031304347826087</v>
      </c>
      <c r="BF17" s="137">
        <f t="shared" ref="BF17:BF22" si="14">IF(ISNUMBER(BC17/BA17),BC17/BA17, " - ")</f>
        <v>0.15130434782608695</v>
      </c>
      <c r="BG17" s="209">
        <f t="shared" si="11"/>
        <v>2.0156521739130433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46</v>
      </c>
      <c r="K18" s="196">
        <v>45</v>
      </c>
      <c r="L18" s="196">
        <v>23</v>
      </c>
      <c r="M18" s="196">
        <v>6</v>
      </c>
      <c r="N18" s="196">
        <v>21</v>
      </c>
      <c r="O18" s="196">
        <v>2</v>
      </c>
      <c r="P18" s="196">
        <v>1</v>
      </c>
      <c r="Q18" s="196">
        <v>3</v>
      </c>
      <c r="R18" s="196">
        <v>1</v>
      </c>
      <c r="S18" s="196">
        <v>107</v>
      </c>
      <c r="T18" s="196">
        <v>44</v>
      </c>
      <c r="U18" s="196">
        <v>68</v>
      </c>
      <c r="V18" s="196">
        <v>86</v>
      </c>
      <c r="W18" s="196">
        <v>6</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107</v>
      </c>
      <c r="AZ18" s="139">
        <f t="shared" si="15"/>
        <v>44</v>
      </c>
      <c r="BA18" s="139">
        <f t="shared" si="15"/>
        <v>68</v>
      </c>
      <c r="BB18" s="139">
        <f t="shared" si="15"/>
        <v>86</v>
      </c>
      <c r="BC18" s="135">
        <f>IF(ISNUMBER(W18),W18," - ")</f>
        <v>6</v>
      </c>
      <c r="BD18" s="136">
        <f>IF(ISNUMBER(BA18/AZ18),BA18/AZ18," - ")</f>
        <v>1.5454545454545454</v>
      </c>
      <c r="BE18" s="137">
        <f>IF(ISNUMBER(BB18/BA18),BB18/BA18, " - ")</f>
        <v>1.2647058823529411</v>
      </c>
      <c r="BF18" s="137">
        <f>IF(ISNUMBER(BC18/BA18),BC18/BA18, " - ")</f>
        <v>8.8235294117647065E-2</v>
      </c>
      <c r="BG18" s="209">
        <f>IF(ISNUMBER((AY18+AZ18)/BA18),(AY18+AZ18)/BA18," - ")</f>
        <v>2.2205882352941178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543</v>
      </c>
      <c r="J23" s="197">
        <f t="shared" si="21"/>
        <v>654</v>
      </c>
      <c r="K23" s="197">
        <f t="shared" si="21"/>
        <v>619</v>
      </c>
      <c r="L23" s="197">
        <f t="shared" si="21"/>
        <v>593</v>
      </c>
      <c r="M23" s="197">
        <f t="shared" si="21"/>
        <v>82</v>
      </c>
      <c r="N23" s="197">
        <f t="shared" si="21"/>
        <v>350</v>
      </c>
      <c r="O23" s="197">
        <f t="shared" si="21"/>
        <v>35</v>
      </c>
      <c r="P23" s="197">
        <f t="shared" si="21"/>
        <v>45</v>
      </c>
      <c r="Q23" s="197">
        <f t="shared" si="21"/>
        <v>38</v>
      </c>
      <c r="R23" s="197">
        <f t="shared" si="21"/>
        <v>190</v>
      </c>
      <c r="S23" s="197">
        <f t="shared" si="21"/>
        <v>707</v>
      </c>
      <c r="T23" s="197">
        <f t="shared" si="21"/>
        <v>603</v>
      </c>
      <c r="U23" s="197">
        <f t="shared" si="21"/>
        <v>643</v>
      </c>
      <c r="V23" s="197">
        <f t="shared" si="21"/>
        <v>679</v>
      </c>
      <c r="W23" s="197">
        <f t="shared" si="21"/>
        <v>93</v>
      </c>
      <c r="X23" s="197">
        <f t="shared" si="21"/>
        <v>332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707</v>
      </c>
      <c r="AZ23" s="197">
        <f>SUBTOTAL(9,AZ15:AZ22)</f>
        <v>603</v>
      </c>
      <c r="BA23" s="197">
        <f>SUBTOTAL(9,BA15:BA22)</f>
        <v>643</v>
      </c>
      <c r="BB23" s="197">
        <f>SUBTOTAL(9,BB15:BB22)</f>
        <v>679</v>
      </c>
      <c r="BC23" s="197">
        <f>SUBTOTAL(9,BC15:BC22)</f>
        <v>93</v>
      </c>
      <c r="BD23" s="219">
        <f>IF(ISNUMBER(BA23/AZ23),BA23/AZ23," - ")</f>
        <v>1.066334991708126</v>
      </c>
      <c r="BE23" s="220">
        <f>IF(ISNUMBER(BB23/BA23),BB23/BA23, " - ")</f>
        <v>1.0559875583203733</v>
      </c>
      <c r="BF23" s="220">
        <f>IF(ISNUMBER(BC23/BA23),BC23/BA23, " - ")</f>
        <v>0.14463452566096424</v>
      </c>
      <c r="BG23" s="221">
        <f>IF(ISNUMBER((AY23+AZ23)/BA23),(AY23+AZ23)/BA23," - ")</f>
        <v>2.0373250388802489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1751</v>
      </c>
      <c r="J31" s="144">
        <f t="shared" si="36"/>
        <v>1349</v>
      </c>
      <c r="K31" s="144">
        <f t="shared" si="36"/>
        <v>1180</v>
      </c>
      <c r="L31" s="144">
        <f t="shared" si="36"/>
        <v>1935</v>
      </c>
      <c r="M31" s="144">
        <f t="shared" si="36"/>
        <v>276</v>
      </c>
      <c r="N31" s="144">
        <f t="shared" si="36"/>
        <v>626</v>
      </c>
      <c r="O31" s="144">
        <f t="shared" si="36"/>
        <v>274</v>
      </c>
      <c r="P31" s="144">
        <f t="shared" si="36"/>
        <v>208</v>
      </c>
      <c r="Q31" s="144">
        <f t="shared" si="36"/>
        <v>158</v>
      </c>
      <c r="R31" s="144">
        <f t="shared" si="36"/>
        <v>2113</v>
      </c>
      <c r="S31" s="144">
        <f t="shared" si="36"/>
        <v>1917</v>
      </c>
      <c r="T31" s="144">
        <f t="shared" si="36"/>
        <v>1135</v>
      </c>
      <c r="U31" s="144">
        <f t="shared" si="36"/>
        <v>1113</v>
      </c>
      <c r="V31" s="144">
        <f t="shared" si="36"/>
        <v>1951</v>
      </c>
      <c r="W31" s="144">
        <f t="shared" si="36"/>
        <v>271</v>
      </c>
      <c r="X31" s="144">
        <f t="shared" si="36"/>
        <v>511</v>
      </c>
      <c r="Y31" s="144">
        <f t="shared" si="36"/>
        <v>68</v>
      </c>
      <c r="Z31" s="144">
        <f t="shared" si="36"/>
        <v>52</v>
      </c>
      <c r="AA31" s="144">
        <f t="shared" si="36"/>
        <v>68</v>
      </c>
      <c r="AB31" s="144">
        <f t="shared" si="36"/>
        <v>52</v>
      </c>
      <c r="AC31" s="144">
        <f t="shared" si="36"/>
        <v>0</v>
      </c>
      <c r="AD31" s="144">
        <f t="shared" si="36"/>
        <v>0</v>
      </c>
      <c r="AE31" s="144">
        <f t="shared" si="36"/>
        <v>0</v>
      </c>
      <c r="AF31" s="144">
        <f t="shared" si="36"/>
        <v>0</v>
      </c>
      <c r="AG31" s="144">
        <f t="shared" si="36"/>
        <v>60</v>
      </c>
      <c r="AH31" s="144">
        <f t="shared" si="36"/>
        <v>46</v>
      </c>
      <c r="AI31" s="144">
        <f t="shared" si="36"/>
        <v>41</v>
      </c>
      <c r="AJ31" s="144">
        <f t="shared" si="36"/>
        <v>65</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1977</v>
      </c>
      <c r="AZ31" s="144">
        <f>SUBTOTAL(9,AZ9:AZ30)</f>
        <v>1181</v>
      </c>
      <c r="BA31" s="144">
        <f>SUBTOTAL(9,BA9:BA30)</f>
        <v>1154</v>
      </c>
      <c r="BB31" s="144">
        <f>SUBTOTAL(9,BB9:BB30)</f>
        <v>2016</v>
      </c>
      <c r="BC31" s="145">
        <f>SUBTOTAL(9,BC9:BC30)</f>
        <v>275</v>
      </c>
      <c r="BD31" s="227">
        <f>IF(ISNUMBER(BA31/AZ31),BA31/AZ31," - ")</f>
        <v>0.97713801862828109</v>
      </c>
      <c r="BE31" s="224">
        <f>IF(ISNUMBER(BB31/BA31),BB31/BA31, " - ")</f>
        <v>1.7469670710571923</v>
      </c>
      <c r="BF31" s="224">
        <f>IF(ISNUMBER(BC31/BA31),BC31/BA31, " - ")</f>
        <v>0.23830155979202772</v>
      </c>
      <c r="BG31" s="145">
        <f>IF(ISNUMBER((AY31+AZ31)/BA31),(AY31+AZ31)/BA31," - ")</f>
        <v>2.7365684575389948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m9nw4EGS2nDdsEKsrZvBaE3nPQYO8wiHoJ2GgVO/HDi2wr99nQGHg9Rc3F6NowcoP58QcSM9kd5rdypHU5+FA==" saltValue="A9tMzR5ht7wDsXkWBL+S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sAGN6APbIYCIZXKxzmw9yzZPDkj2PGgK1yLRb8W9kFWBRLqDrE8/mkzFrQ6KcorEVsCNeAVJd6ZR3FDJI0uRA==" saltValue="/DIVcf6jlpuB9FQfElao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SIERO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15</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1913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192</v>
      </c>
      <c r="BD12" s="693">
        <f>IF(ISNUMBER(Datos!N12),Datos!N12," - ")</f>
        <v>276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0.83870967741935487</v>
      </c>
      <c r="BH12" s="764">
        <f>IF(ISNUMBER(((IF(J_V="SI",Datos!L12/Datos!K12,(Datos!L12+Datos!AB12)/(Datos!K12+Datos!AA12)))*11)/factor_trimestre),((IF(J_V="SI",Datos!L12/Datos!K12,(Datos!L12+Datos!AB12)/(Datos!K12+Datos!AA12)))*11)/factor_trimestre," - ")</f>
        <v>4.4198717948717947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2.2994652406417113E-2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120</v>
      </c>
      <c r="AD14" s="1198">
        <f t="shared" si="2"/>
        <v>0</v>
      </c>
      <c r="AE14" s="1198">
        <f t="shared" si="2"/>
        <v>0</v>
      </c>
      <c r="AF14" s="1198">
        <f t="shared" si="2"/>
        <v>15</v>
      </c>
      <c r="AG14" s="1198">
        <f t="shared" si="2"/>
        <v>0</v>
      </c>
      <c r="AH14" s="1198">
        <f t="shared" si="2"/>
        <v>52</v>
      </c>
      <c r="AI14" s="1198">
        <f t="shared" si="2"/>
        <v>0</v>
      </c>
      <c r="AJ14" s="1198">
        <f t="shared" si="2"/>
        <v>0</v>
      </c>
      <c r="AK14" s="1198">
        <f t="shared" si="2"/>
        <v>0</v>
      </c>
      <c r="AL14" s="1198">
        <f t="shared" si="2"/>
        <v>0</v>
      </c>
      <c r="AM14" s="1198">
        <f t="shared" si="2"/>
        <v>1923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194</v>
      </c>
      <c r="BD14" s="1198">
        <f t="shared" si="2"/>
        <v>276</v>
      </c>
      <c r="BE14" s="1198">
        <f t="shared" si="2"/>
        <v>0</v>
      </c>
      <c r="BF14" s="1198">
        <f t="shared" si="2"/>
        <v>0</v>
      </c>
      <c r="BG14" s="1198">
        <f>IF(ISNUMBER(Datos!K14/Datos!J14),Datos!K14/Datos!J14," - ")</f>
        <v>0.80719424460431655</v>
      </c>
      <c r="BH14" s="1202">
        <f>IF(ISNUMBER(((Datos!L14/Datos!K14)*11)/factor_trimestre),((Datos!L14/Datos!K14)*11)/factor_trimestre," - ")</f>
        <v>4.784313725490196</v>
      </c>
      <c r="BI14" s="1198">
        <f>IF(ISNUMBER('Resol  Asuntos'!D14/NºAsuntos!G14),'Resol  Asuntos'!D14/NºAsuntos!G14," - ")</f>
        <v>0.30842607313195547</v>
      </c>
      <c r="BJ14" s="1198" t="str">
        <f>IF(ISNUMBER(Datos!CI14/Datos!CJ14),Datos!CI14/Datos!CJ14," - ")</f>
        <v xml:space="preserve"> - </v>
      </c>
      <c r="BK14" s="1198">
        <f>SUBTOTAL(9,BK8:BK13)</f>
        <v>0</v>
      </c>
      <c r="BL14" s="1198">
        <f>IF(ISNUMBER((I14-AB14+L14)/(F14)),(I14-AB14+L14)/(F14)," - ")</f>
        <v>-0.29411764705882354</v>
      </c>
      <c r="BM14" s="1203">
        <f>SUBTOTAL(9,BM9:BM13)</f>
        <v>2.2994652406417113E-2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536</v>
      </c>
      <c r="G17" s="743">
        <f>IF(ISNUMBER(IF(D_I="SI",Datos!I17,Datos!I17+Datos!AC17)),IF(D_I="SI",Datos!I17,Datos!I17+Datos!AC17)," - ")</f>
        <v>523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574</v>
      </c>
      <c r="AC17" s="240">
        <f>IF(ISNUMBER(Datos!Q17),Datos!Q17," - ")</f>
        <v>35</v>
      </c>
      <c r="AD17" s="374"/>
      <c r="AE17" s="562"/>
      <c r="AF17" s="741">
        <f>IF(ISNUMBER(IF(D_I="SI",Datos!L17,Datos!L17+Datos!AF17)),IF(D_I="SI",Datos!L17,Datos!L17+Datos!AF17)," - ")</f>
        <v>570</v>
      </c>
      <c r="AG17" s="374"/>
      <c r="AH17" s="374"/>
      <c r="AI17" s="374"/>
      <c r="AJ17" s="549"/>
      <c r="AK17" s="374"/>
      <c r="AL17" s="545"/>
      <c r="AM17" s="375">
        <f>IF(ISNUMBER(Datos!R17),Datos!R17," - ")</f>
        <v>189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76</v>
      </c>
      <c r="BD17" s="243">
        <f>IF(ISNUMBER(Datos!N17),Datos!N17," - ")</f>
        <v>329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0.94407894736842102</v>
      </c>
      <c r="BH17" s="764">
        <f>IF(ISNUMBER(((IF(D_I="SI",Datos!L17/Datos!K17,(Datos!L17+Datos!AF17)/(Datos!K17+Datos!AE17)))*11)/factor_trimestre),((IF(D_I="SI",Datos!L17/Datos!K17,(Datos!L17+Datos!AF17)/(Datos!K17+Datos!AE17)))*11)/factor_trimestre," - ")</f>
        <v>1.986062717770035</v>
      </c>
      <c r="BI17" s="266">
        <f>IF(ISNUMBER('Resol  Asuntos'!D17/NºAsuntos!G17),'Resol  Asuntos'!D17/NºAsuntos!G17," - ")</f>
        <v>0.13240418118466898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v>
      </c>
      <c r="AC18" s="547">
        <f>IF(ISNUMBER(Datos!Q18),Datos!Q18," - ")</f>
        <v>3</v>
      </c>
      <c r="AD18" s="549"/>
      <c r="AE18" s="562"/>
      <c r="AF18" s="551">
        <f>IF(ISNUMBER(Datos!L18),Datos!L18,"-")</f>
        <v>23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0.97826086956521741</v>
      </c>
      <c r="BH18" s="764">
        <f>IF(ISNUMBER(((IF(D_I="SI",Datos!L18/Datos!K18,(Datos!L18+Datos!AF18)/(Datos!K18+Datos!AE18)))*11)/factor_trimestre),((IF(D_I="SI",Datos!L18/Datos!K18,(Datos!L18+Datos!AF18)/(Datos!K18+Datos!AE18)))*11)/factor_trimestre," - ")</f>
        <v>1.0222222222222221</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536</v>
      </c>
      <c r="G23" s="1197">
        <f>SUBTOTAL(9,G16:G22)</f>
        <v>543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619</v>
      </c>
      <c r="AC23" s="1198">
        <f t="shared" si="5"/>
        <v>38</v>
      </c>
      <c r="AD23" s="1198">
        <f t="shared" si="5"/>
        <v>0</v>
      </c>
      <c r="AE23" s="1198">
        <f t="shared" si="5"/>
        <v>0</v>
      </c>
      <c r="AF23" s="1198">
        <f t="shared" si="5"/>
        <v>593</v>
      </c>
      <c r="AG23" s="1198">
        <f t="shared" si="5"/>
        <v>0</v>
      </c>
      <c r="AH23" s="1198">
        <f t="shared" si="5"/>
        <v>0</v>
      </c>
      <c r="AI23" s="1198">
        <f t="shared" si="5"/>
        <v>0</v>
      </c>
      <c r="AJ23" s="1198">
        <f t="shared" si="5"/>
        <v>0</v>
      </c>
      <c r="AK23" s="1198">
        <f t="shared" si="5"/>
        <v>0</v>
      </c>
      <c r="AL23" s="1198">
        <f t="shared" si="5"/>
        <v>0</v>
      </c>
      <c r="AM23" s="1198">
        <f t="shared" si="5"/>
        <v>190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82</v>
      </c>
      <c r="BD23" s="1198">
        <f t="shared" si="5"/>
        <v>350</v>
      </c>
      <c r="BE23" s="1198">
        <f t="shared" si="5"/>
        <v>0</v>
      </c>
      <c r="BF23" s="1198">
        <f t="shared" si="5"/>
        <v>0</v>
      </c>
      <c r="BG23" s="1198">
        <f>IF(ISNUMBER(Datos!K23/Datos!J23),Datos!K23/Datos!J23," - ")</f>
        <v>0.94648318042813451</v>
      </c>
      <c r="BH23" s="1202">
        <f>IF(ISNUMBER(((Datos!L23/Datos!K23)*11)/factor_trimestre),((Datos!L23/Datos!K23)*11)/factor_trimestre," - ")</f>
        <v>1.9159935379644588</v>
      </c>
      <c r="BI23" s="1198">
        <f>SUBTOTAL(9,BI16:BI22)</f>
        <v>0.26573751451800232</v>
      </c>
      <c r="BJ23" s="1198">
        <f>SUBTOTAL(9,BJ16:BJ22)</f>
        <v>0</v>
      </c>
      <c r="BK23" s="1198">
        <f>SUBTOTAL(9,BK16:BK22)</f>
        <v>0</v>
      </c>
      <c r="BL23" s="1198">
        <f>IF(ISNUMBER((I23-AB23+L23)/(F23)),(I23-AB23+L23)/(F23)," - ")</f>
        <v>-1.1548507462686568</v>
      </c>
      <c r="BM23" s="1205">
        <f>IF(ISNUMBER((Datos!P23-Datos!Q23)/(Datos!R23-Datos!P23+Datos!Q23)),(Datos!P23-Datos!Q23)/(Datos!R23-Datos!P23+Datos!Q23)," - ")</f>
        <v>3.825136612021858E-2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553</v>
      </c>
      <c r="G31" s="1117">
        <f t="shared" si="18"/>
        <v>560</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208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624</v>
      </c>
      <c r="AC31" s="1118">
        <f t="shared" si="19"/>
        <v>158</v>
      </c>
      <c r="AD31" s="1118">
        <f t="shared" si="19"/>
        <v>0</v>
      </c>
      <c r="AE31" s="1118">
        <f t="shared" si="19"/>
        <v>0</v>
      </c>
      <c r="AF31" s="1125">
        <f t="shared" si="19"/>
        <v>608</v>
      </c>
      <c r="AG31" s="1125">
        <f t="shared" si="19"/>
        <v>0</v>
      </c>
      <c r="AH31" s="1125">
        <f t="shared" si="19"/>
        <v>52</v>
      </c>
      <c r="AI31" s="1125">
        <f t="shared" si="19"/>
        <v>0</v>
      </c>
      <c r="AJ31" s="1118">
        <f t="shared" si="19"/>
        <v>0</v>
      </c>
      <c r="AK31" s="1125">
        <f t="shared" si="19"/>
        <v>0</v>
      </c>
      <c r="AL31" s="1125">
        <f t="shared" si="19"/>
        <v>0</v>
      </c>
      <c r="AM31" s="1125">
        <f t="shared" si="19"/>
        <v>2113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276</v>
      </c>
      <c r="BD31" s="1117">
        <f t="shared" si="19"/>
        <v>626</v>
      </c>
      <c r="BE31" s="1117">
        <f t="shared" si="19"/>
        <v>0</v>
      </c>
      <c r="BF31" s="1127">
        <f t="shared" si="19"/>
        <v>0</v>
      </c>
      <c r="BG31" s="1223">
        <f>IF(ISNUMBER(Datos!K31/Datos!J31),Datos!K31/Datos!J31," - ")</f>
        <v>0.87472201630837654</v>
      </c>
      <c r="BH31" s="1223">
        <f>IF(ISNUMBER(((Datos!L31/Datos!K31)*11)/factor_trimestre),((Datos!L31/Datos!K31)*11)/factor_trimestre," - ")</f>
        <v>3.2796610169491527</v>
      </c>
      <c r="BI31" s="1103">
        <f>IF(ISNUMBER(Datos!J31/Datos!I31),Datos!J31/Datos!I31," - ")</f>
        <v>0.77041690462592805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-1.1283905967450272</v>
      </c>
      <c r="BM31" s="1188">
        <f>IF(ISNUMBER((Datos!P31-Datos!Q31+R31)/(Datos!R31-Datos!P31+Datos!Q31-R31)),(Datos!P31-Datos!Q31+R31)/(Datos!R31-Datos!P31+Datos!Q31-R31)," - ")</f>
        <v>2.4236548715462918E-2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272.50590207675629</v>
      </c>
      <c r="G33" s="674">
        <f>IF(ISNUMBER(STDEV(G8:G30)),STDEV(G8:G30),"-")</f>
        <v>255.00196077677521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286.41794303995357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83.62501334614457</v>
      </c>
      <c r="BD33" s="673"/>
      <c r="BE33" s="673">
        <f>IF(ISNUMBER(STDEV(BE8:BE30)),STDEV(BE8:BE30),"-")</f>
        <v>0</v>
      </c>
      <c r="BF33" s="678">
        <f>IF(ISNUMBER(STDEV(BF8:BF30)),STDEV(BF8:BF30),"-")</f>
        <v>0</v>
      </c>
      <c r="BG33" s="1052">
        <f>IF(ISNUMBER(STDEV(BG8:BG30)),STDEV(BG8:BG30),"-")</f>
        <v>0.31893978647055304</v>
      </c>
      <c r="BH33" s="1058">
        <f>IF(ISNUMBER(STDEV(BH8:BH30)),STDEV(BH8:BH30),"-")</f>
        <v>1.9778521336603647</v>
      </c>
      <c r="BI33" s="273">
        <f>IF(ISNUMBER(STDEV(BI8:BI30)),STDEV(BI8:BI30),"-")</f>
        <v>9.0725315884497795E-2</v>
      </c>
      <c r="BJ33" s="244" t="str">
        <f>IF(ISNUMBER(BL33/BM33),BL33/BM33," - ")</f>
        <v xml:space="preserve"> - </v>
      </c>
      <c r="BK33" s="709"/>
      <c r="BL33" s="681">
        <f>IF(ISNUMBER(STDEV(BL8:BL30)),STDEV(BL8:BL30),"-")</f>
        <v>0.60863021124298633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TmfSGVepArCJnfdAZA9zSt1lIg4/UIls232zhqlj+8gP+cSEYu/AuHqH/7h1iu6cQ9O+lwd6NdulD9cMAv7Aw==" saltValue="VicyJ3UAwriWc0Uv0l8U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SIERO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15</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120</v>
      </c>
      <c r="AA12" s="551" t="str">
        <f>IF(ISNUMBER(IF(J_V="SI",Datos!L12,Datos!L12+Datos!AB12)-IF(Monitorios="SI",Datos!CD12,0)),
                          IF(J_V="SI",Datos!L12,Datos!L12+Datos!AB12)-IF(Monitorios="SI",Datos!CD12,0),
                          " - ")</f>
        <v xml:space="preserve"> - </v>
      </c>
      <c r="AB12" s="549"/>
      <c r="AC12" s="549"/>
      <c r="AD12" s="563"/>
      <c r="AE12" s="563">
        <f>IF(ISNUMBER(Datos!R12),Datos!R12," - ")</f>
        <v>1913</v>
      </c>
      <c r="AF12" s="693" t="str">
        <f>IF(ISNUMBER(Datos!BV12),Datos!BV12," - ")</f>
        <v xml:space="preserve"> - </v>
      </c>
      <c r="AG12" s="552" t="str">
        <f>IF(ISNUMBER(Datos!DV12),Datos!DV12," - ")</f>
        <v xml:space="preserve"> - </v>
      </c>
      <c r="AH12" s="553"/>
      <c r="AI12" s="554"/>
      <c r="AJ12" s="552">
        <f>IF(ISNUMBER(Datos!M12),Datos!M12," - ")</f>
        <v>192</v>
      </c>
      <c r="AK12" s="693">
        <f>IF(ISNUMBER(Datos!N12),Datos!N12," - ")</f>
        <v>276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4.4198717948717947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2.2994652406417113E-2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163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120</v>
      </c>
      <c r="AA14" s="1199">
        <f t="shared" si="3"/>
        <v>15</v>
      </c>
      <c r="AB14" s="1199">
        <f t="shared" si="3"/>
        <v>0</v>
      </c>
      <c r="AC14" s="1199">
        <f t="shared" si="3"/>
        <v>0</v>
      </c>
      <c r="AD14" s="1199">
        <f t="shared" si="3"/>
        <v>0</v>
      </c>
      <c r="AE14" s="1199">
        <f t="shared" si="3"/>
        <v>1923</v>
      </c>
      <c r="AF14" s="1211">
        <f t="shared" si="3"/>
        <v>0</v>
      </c>
      <c r="AG14" s="1211">
        <f t="shared" si="3"/>
        <v>0</v>
      </c>
      <c r="AH14" s="1211">
        <f t="shared" si="3"/>
        <v>0</v>
      </c>
      <c r="AI14" s="1211">
        <f t="shared" si="3"/>
        <v>0</v>
      </c>
      <c r="AJ14" s="1211">
        <f t="shared" si="3"/>
        <v>194</v>
      </c>
      <c r="AK14" s="1211">
        <f t="shared" si="3"/>
        <v>276</v>
      </c>
      <c r="AL14" s="1211">
        <f t="shared" si="3"/>
        <v>0</v>
      </c>
      <c r="AM14" s="1211">
        <f t="shared" si="3"/>
        <v>0</v>
      </c>
      <c r="AN14" s="1211">
        <f t="shared" si="3"/>
        <v>0</v>
      </c>
      <c r="AO14" s="1203">
        <f>IF(ISNUMBER(((NºAsuntos!I14/NºAsuntos!G14)*11)/factor_trimestre),((NºAsuntos!I14/NºAsuntos!G14)*11)/factor_trimestre," - ")</f>
        <v>4.4324324324324325</v>
      </c>
      <c r="AP14" s="1213" t="str">
        <f>IF(ISNUMBER(Datos!CI14/Datos!CJ14),Datos!CI14/Datos!CJ14," - ")</f>
        <v xml:space="preserve"> - </v>
      </c>
      <c r="AQ14" s="1236">
        <f t="shared" ref="AQ14:AV14" si="4">SUBTOTAL(9,AQ9:AQ13)</f>
        <v>0</v>
      </c>
      <c r="AR14" s="1236">
        <f t="shared" si="4"/>
        <v>2.2994652406417113E-2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536</v>
      </c>
      <c r="G17" s="552">
        <f>IF(ISNUMBER(IF(D_I="SI",Datos!I17,Datos!I17+Datos!AC17)),IF(D_I="SI",Datos!I17,Datos!I17+Datos!AC17)," - ")</f>
        <v>523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574</v>
      </c>
      <c r="Z17" s="805">
        <f>IF(ISNUMBER(Datos!Q17),Datos!Q17," - ")</f>
        <v>35</v>
      </c>
      <c r="AA17" s="551">
        <f>IF(ISNUMBER(IF(D_I="SI",Datos!L17,Datos!L17+Datos!AF17)),IF(D_I="SI",Datos!L17,Datos!L17+Datos!AF17)," - ")</f>
        <v>570</v>
      </c>
      <c r="AB17" s="549"/>
      <c r="AC17" s="549"/>
      <c r="AD17" s="563"/>
      <c r="AE17" s="563">
        <f>IF(ISNUMBER(Datos!R17),Datos!R17," - ")</f>
        <v>189</v>
      </c>
      <c r="AF17" s="693" t="str">
        <f>IF(ISNUMBER(Datos!BV17),Datos!BV17," - ")</f>
        <v xml:space="preserve"> - </v>
      </c>
      <c r="AG17" s="552"/>
      <c r="AH17" s="553"/>
      <c r="AI17" s="554"/>
      <c r="AJ17" s="552">
        <f>IF(ISNUMBER(Datos!M17),Datos!M17," - ")</f>
        <v>76</v>
      </c>
      <c r="AK17" s="693">
        <f>IF(ISNUMBER(Datos!N17),Datos!N17," - ")</f>
        <v>329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1.986062717770035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v>
      </c>
      <c r="Z18" s="805">
        <f>IF(ISNUMBER(Datos!Q18),Datos!Q18," - ")</f>
        <v>3</v>
      </c>
      <c r="AA18" s="551">
        <f>IF(ISNUMBER(Datos!L18),Datos!L18,"-")</f>
        <v>23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1.0222222222222221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536</v>
      </c>
      <c r="G23" s="1197">
        <f>SUBTOTAL(9,G16:G22)</f>
        <v>543</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619</v>
      </c>
      <c r="Z23" s="1240">
        <f t="shared" si="6"/>
        <v>38</v>
      </c>
      <c r="AA23" s="1240">
        <f t="shared" si="6"/>
        <v>593</v>
      </c>
      <c r="AB23" s="1240">
        <f t="shared" si="6"/>
        <v>0</v>
      </c>
      <c r="AC23" s="1240">
        <f t="shared" si="6"/>
        <v>0</v>
      </c>
      <c r="AD23" s="1240">
        <f t="shared" si="6"/>
        <v>0</v>
      </c>
      <c r="AE23" s="1240">
        <f t="shared" si="6"/>
        <v>190</v>
      </c>
      <c r="AF23" s="1240">
        <f t="shared" si="6"/>
        <v>0</v>
      </c>
      <c r="AG23" s="1240">
        <f t="shared" si="6"/>
        <v>0</v>
      </c>
      <c r="AH23" s="1240">
        <f t="shared" si="6"/>
        <v>0</v>
      </c>
      <c r="AI23" s="1240">
        <f t="shared" si="6"/>
        <v>0</v>
      </c>
      <c r="AJ23" s="1240">
        <f t="shared" si="6"/>
        <v>82</v>
      </c>
      <c r="AK23" s="1240">
        <f t="shared" si="6"/>
        <v>350</v>
      </c>
      <c r="AL23" s="1240">
        <f t="shared" si="6"/>
        <v>0</v>
      </c>
      <c r="AM23" s="1240">
        <f t="shared" si="6"/>
        <v>0</v>
      </c>
      <c r="AN23" s="1240">
        <f t="shared" si="6"/>
        <v>0</v>
      </c>
      <c r="AO23" s="1242">
        <f>IF(ISNUMBER(((NºAsuntos!I23/NºAsuntos!G23)*11)/factor_trimestre),((NºAsuntos!I23/NºAsuntos!G23)*11)/factor_trimestre," - ")</f>
        <v>1.9159935379644588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553</v>
      </c>
      <c r="G31" s="1117">
        <f t="shared" si="12"/>
        <v>560</v>
      </c>
      <c r="H31" s="1118">
        <f t="shared" si="12"/>
        <v>0</v>
      </c>
      <c r="I31" s="1117">
        <f t="shared" si="12"/>
        <v>0</v>
      </c>
      <c r="J31" s="1119">
        <f t="shared" si="12"/>
        <v>0</v>
      </c>
      <c r="K31" s="1117">
        <f t="shared" si="12"/>
        <v>0</v>
      </c>
      <c r="L31" s="1120">
        <f t="shared" si="12"/>
        <v>0</v>
      </c>
      <c r="M31" s="1117">
        <f t="shared" si="12"/>
        <v>0</v>
      </c>
      <c r="N31" s="1118">
        <f t="shared" si="12"/>
        <v>208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624</v>
      </c>
      <c r="Z31" s="1124">
        <f t="shared" si="13"/>
        <v>158</v>
      </c>
      <c r="AA31" s="1125">
        <f t="shared" si="13"/>
        <v>608</v>
      </c>
      <c r="AB31" s="1125">
        <f t="shared" si="13"/>
        <v>0</v>
      </c>
      <c r="AC31" s="1125">
        <f t="shared" si="13"/>
        <v>0</v>
      </c>
      <c r="AD31" s="1126">
        <f t="shared" si="13"/>
        <v>0</v>
      </c>
      <c r="AE31" s="1126">
        <f t="shared" si="13"/>
        <v>2113</v>
      </c>
      <c r="AF31" s="1127">
        <f t="shared" si="13"/>
        <v>0</v>
      </c>
      <c r="AG31" s="1128">
        <f t="shared" si="13"/>
        <v>0</v>
      </c>
      <c r="AH31" s="1129">
        <f t="shared" si="13"/>
        <v>0</v>
      </c>
      <c r="AI31" s="1127">
        <f t="shared" si="13"/>
        <v>0</v>
      </c>
      <c r="AJ31" s="1117">
        <f t="shared" si="13"/>
        <v>276</v>
      </c>
      <c r="AK31" s="1117">
        <f t="shared" si="13"/>
        <v>626</v>
      </c>
      <c r="AL31" s="1117">
        <f t="shared" si="13"/>
        <v>0</v>
      </c>
      <c r="AM31" s="1130">
        <f t="shared" si="13"/>
        <v>0</v>
      </c>
      <c r="AN31" s="1120">
        <f>IF(ISNUMBER(Datos!K31/Datos!J31),Datos!K31/Datos!J31," - ")</f>
        <v>0.87472201630837654</v>
      </c>
      <c r="AO31" s="1120">
        <f>IF(ISNUMBER(FIND("06",Criterios!A8,1)),(IF(ISNUMBER(((Datos!R31/Datos!Q31)*11)/factor_trimestre),((Datos!R31/Datos!Q31)*11)/factor_trimestre," - ")),(IF(ISNUMBER(((Datos!L31/Datos!K31)*11)/factor_trimestre),((Datos!L31/Datos!K31)*11)/factor_trimestre," - ")))</f>
        <v>3.2796610169491527</v>
      </c>
      <c r="AP31" s="1131" t="str">
        <f>IF(ISNUMBER(Datos!CI31/Datos!CJ31),Datos!CI31/Datos!CJ31," - ")</f>
        <v xml:space="preserve"> - </v>
      </c>
      <c r="AQ31" s="1131">
        <f>IF(OR(ISNUMBER(FIND("01",Criterios!A8,1)),ISNUMBER(FIND("02",Criterios!A8,1)),ISNUMBER(FIND("03",Criterios!A8,1)),ISNUMBER(FIND("04",Criterios!A8,1))),(J31-Y31+K31)/(F31-K31),(I31-Y31+K31)/(F31-K31))</f>
        <v>-1.1283905967450272</v>
      </c>
      <c r="AR31" s="1131">
        <f>IF(ISNUMBER((Datos!P31-Datos!Q31+O31)/(Datos!R31-Datos!P31+Datos!Q31-O31)),(Datos!P31-Datos!Q31+O31)/(Datos!R31-Datos!P31+Datos!Q31-O31)," - ")</f>
        <v>2.4236548715462918E-2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272.50590207675629</v>
      </c>
      <c r="G33" s="674">
        <f>IF(ISNUMBER(STDEV(G8:G30)),STDEV(G8:G30),"-")</f>
        <v>255.00196077677521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83.62501334614457</v>
      </c>
      <c r="AK33" s="276"/>
      <c r="AL33" s="276">
        <f>IF(ISNUMBER(STDEV(AL8:AL30)),STDEV(AL8:AL30),"-")</f>
        <v>0</v>
      </c>
      <c r="AM33" s="278">
        <f>IF(ISNUMBER(STDEV(AM8:AM30)),STDEV(AM8:AM30),"-")</f>
        <v>0</v>
      </c>
      <c r="AN33" s="660">
        <f>IF(ISNUMBER(STDEV(AN8:AN30)),STDEV(AN8:AN30),"-")</f>
        <v>0</v>
      </c>
      <c r="AO33" s="661">
        <f>IF(ISNUMBER(STDEV(AO8:AO30)),STDEV(AO8:AO30),"-")</f>
        <v>1.9316625652299448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tIBNDQxnylAJcYxITTJC8eAyArOP8ETegtr8W7hVjFWVrfsnQgUQ+mkyG2c+mSO9xKRlqbDEbuH+Qijhr/THA==" saltValue="JYGj1ypinK19pZZBJo/t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SWX1Pslgd339obgSnD5/V3E9p8Ut29icNG7C926Bx/csm6d7C+Hf87BAKmRHzsP0aYktw/qfWxRcZnqvGscpQ==" saltValue="ucr9osEud6Tsc+xe9k0b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Q0g/WqKkKASel0c8IT8tu2EExQ1a67cokT2UMCIc0FTq7f7VETjl1oVdg3FJvHdEPxNUK2HllmwOq/Liqcgw==" saltValue="jQdTZ+DU//FGhMPR4wgY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SIERO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0.30842607313195547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0.21809016780634374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untITMMmKajGeQ+rye1o4vbHW1AfuBYJ4or9oygwNVBduWXnTbps5tIMwhg4YY440wMaFrckxmsd6Y9AcLw5Q==" saltValue="tAC8h7W97nRoYMkJskB4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ioDAEbIcBmoGNKMbqHYovw5RWv9wItHOw0jquUGbIalv1I6vuvYOT+BQqYTVU6pHwjqaBlhw/abW0XYneTIFg==" saltValue="uK60p9za+x3zOEw4QW5S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SIERO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3</v>
      </c>
      <c r="F10" s="452">
        <f>IF(ISNUMBER(E10/B10),E10/B10," - ")</f>
        <v>3</v>
      </c>
      <c r="G10" s="451">
        <f>IF(ISNUMBER(Datos!K10),Datos!K10," - ")</f>
        <v>5</v>
      </c>
      <c r="H10" s="452">
        <f>IF(ISNUMBER(G10/B10),G10/B10," - ")</f>
        <v>5</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1259</v>
      </c>
      <c r="D12" s="452">
        <f>IF(ISNUMBER(C12/Datos!BH12),C12/Datos!BH12," - ")</f>
        <v>314.75</v>
      </c>
      <c r="E12" s="451">
        <f>IF(ISNUMBER(IF(J_V="SI",Datos!J12,Datos!J12+Datos!Z12)),IF(J_V="SI",Datos!J12,Datos!J12+Datos!Z12)," - ")</f>
        <v>744</v>
      </c>
      <c r="F12" s="452">
        <f>IF(ISNUMBER(E12/B12),E12/B12," - ")</f>
        <v>186</v>
      </c>
      <c r="G12" s="451">
        <f>IF(ISNUMBER(IF(J_V="SI",Datos!K12,Datos!K12+Datos!AA12)),IF(J_V="SI",Datos!K12,Datos!K12+Datos!AA12)," - ")</f>
        <v>624</v>
      </c>
      <c r="H12" s="452">
        <f>IF(ISNUMBER(G12/B12),G12/B12," - ")</f>
        <v>156</v>
      </c>
      <c r="I12" s="451">
        <f>IF(ISNUMBER(IF(J_V="SI",Datos!L12,Datos!L12+Datos!AB12)),IF(J_V="SI",Datos!L12,Datos!L12+Datos!AB12)," - ")</f>
        <v>1379</v>
      </c>
      <c r="J12" s="452">
        <f>IF(ISNUMBER(I12/B12),I12/B12," - ")</f>
        <v>344.75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1276</v>
      </c>
      <c r="D14" s="1147" t="str">
        <f>IF(ISNUMBER(C14/Datos!BI14),C14/Datos!BI14," - ")</f>
        <v xml:space="preserve"> - </v>
      </c>
      <c r="E14" s="1146">
        <f>SUBTOTAL(9,E8:E13)</f>
        <v>747</v>
      </c>
      <c r="F14" s="1147">
        <f>IF(ISNUMBER(E14/B14),E14/B14," - ")</f>
        <v>186.75</v>
      </c>
      <c r="G14" s="1146">
        <f>SUBTOTAL(9,G8:G13)</f>
        <v>629</v>
      </c>
      <c r="H14" s="1147">
        <f>IF(ISNUMBER(G14/B14),G14/B14," - ")</f>
        <v>157.25</v>
      </c>
      <c r="I14" s="1146">
        <f>SUBTOTAL(9,I8:I13)</f>
        <v>1394</v>
      </c>
      <c r="J14" s="1147">
        <f>IF(ISNUMBER(I14/B14),I14/B14," - ")</f>
        <v>348.5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523</v>
      </c>
      <c r="D17" s="452">
        <f>IF(ISNUMBER(C17/Datos!BH17),C17/Datos!BH17," - ")</f>
        <v>130.75</v>
      </c>
      <c r="E17" s="451">
        <f>IF(ISNUMBER(IF(D_I="SI",Datos!J17,Datos!J17+Datos!AD17)),IF(D_I="SI",Datos!J17,Datos!J17+Datos!AD17)," - ")</f>
        <v>608</v>
      </c>
      <c r="F17" s="452">
        <f>IF(ISNUMBER(E17/B17),E17/B17," - ")</f>
        <v>152</v>
      </c>
      <c r="G17" s="451">
        <f>IF(ISNUMBER(IF(D_I="SI",Datos!K17,Datos!K17+Datos!AE17)),IF(D_I="SI",Datos!K17,Datos!K17+Datos!AE17)," - ")</f>
        <v>574</v>
      </c>
      <c r="H17" s="452">
        <f>IF(ISNUMBER(G17/B17),G17/B17," - ")</f>
        <v>143.5</v>
      </c>
      <c r="I17" s="451">
        <f>IF(ISNUMBER(IF(D_I="SI",Datos!L17,Datos!L17+Datos!AF17)),IF(D_I="SI",Datos!L17,Datos!L17+Datos!AF17)," - ")</f>
        <v>570</v>
      </c>
      <c r="J17" s="452">
        <f>IF(ISNUMBER(I17/B17),I17/B17," - ")</f>
        <v>142.5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46</v>
      </c>
      <c r="F18" s="452">
        <f>IF(ISNUMBER(E18/B18),E18/B18," - ")</f>
        <v>46</v>
      </c>
      <c r="G18" s="451">
        <f>IF(ISNUMBER(IF(D_I="SI",Datos!K18,Datos!K18+Datos!AE18)),IF(D_I="SI",Datos!K18,Datos!K18+Datos!AE18)," - ")</f>
        <v>45</v>
      </c>
      <c r="H18" s="452">
        <f>IF(ISNUMBER(G18/B18),G18/B18," - ")</f>
        <v>45</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543</v>
      </c>
      <c r="D23" s="1147" t="str">
        <f>IF(ISNUMBER(C23/Datos!BI23),C23/Datos!BI23," - ")</f>
        <v xml:space="preserve"> - </v>
      </c>
      <c r="E23" s="1146">
        <f>SUBTOTAL(9,E15:E22)</f>
        <v>654</v>
      </c>
      <c r="F23" s="1147">
        <f>IF(ISNUMBER(E23/B23),E23/B23," - ")</f>
        <v>163.5</v>
      </c>
      <c r="G23" s="1146">
        <f>SUBTOTAL(9,G15:G22)</f>
        <v>619</v>
      </c>
      <c r="H23" s="1147">
        <f>IF(ISNUMBER(G23/B23),G23/B23," - ")</f>
        <v>154.75</v>
      </c>
      <c r="I23" s="1146">
        <f>SUBTOTAL(9,I15:I22)</f>
        <v>593</v>
      </c>
      <c r="J23" s="1147">
        <f>IF(ISNUMBER(I23/B23),I23/B23," - ")</f>
        <v>148.25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1819</v>
      </c>
      <c r="D31" s="1085" t="str">
        <f>IF(ISNUMBER(C31/Datos!BI31),C31/Datos!BI31," - ")</f>
        <v xml:space="preserve"> - </v>
      </c>
      <c r="E31" s="1084">
        <f>SUBTOTAL(9,E9:E30)</f>
        <v>1401</v>
      </c>
      <c r="F31" s="1085">
        <f>IF(ISNUMBER(E31/B31),E31/B31," - ")</f>
        <v>350.25</v>
      </c>
      <c r="G31" s="1084">
        <f>SUBTOTAL(9,G9:G30)</f>
        <v>1248</v>
      </c>
      <c r="H31" s="1085">
        <f>IF(ISNUMBER(G31/B31),G31/B31," - ")</f>
        <v>312</v>
      </c>
      <c r="I31" s="1084">
        <f>SUBTOTAL(9,I9:I30)</f>
        <v>1987</v>
      </c>
      <c r="J31" s="1085">
        <f>IF(ISNUMBER(I31/B31),I31/B31," - ")</f>
        <v>496.75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NdPnoBGhx/JdvTnPmD3s+DO2ZwA3oA+JACCf9fYEZFuj6X3hi5jIe5CezVbAsptoffeLWbvgFGMUaDvtjPwog==" saltValue="QM8wYRt/+b5Fvkyi3VO1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SIERO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192</v>
      </c>
      <c r="AM12" s="914">
        <f>IF(ISNUMBER(Datos!N12+DatosP!N17),Datos!N12+DatosP!N17," - ")</f>
        <v>276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4.4198717948717947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2.2994652406417113E-2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163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120</v>
      </c>
      <c r="AE14" s="1257">
        <f t="shared" si="1"/>
        <v>0</v>
      </c>
      <c r="AF14" s="1257">
        <f t="shared" si="1"/>
        <v>15</v>
      </c>
      <c r="AG14" s="1257">
        <f t="shared" si="1"/>
        <v>0</v>
      </c>
      <c r="AH14" s="1257">
        <f t="shared" si="1"/>
        <v>1913</v>
      </c>
      <c r="AI14" s="1257">
        <f t="shared" si="1"/>
        <v>0</v>
      </c>
      <c r="AJ14" s="1257">
        <f t="shared" si="1"/>
        <v>0</v>
      </c>
      <c r="AK14" s="1257">
        <f t="shared" si="1"/>
        <v>0</v>
      </c>
      <c r="AL14" s="1257">
        <f t="shared" si="1"/>
        <v>194</v>
      </c>
      <c r="AM14" s="1257">
        <f t="shared" si="1"/>
        <v>276</v>
      </c>
      <c r="AN14" s="1257">
        <f t="shared" si="1"/>
        <v>0</v>
      </c>
      <c r="AO14" s="1257">
        <f t="shared" si="1"/>
        <v>0</v>
      </c>
      <c r="AP14" s="1262">
        <f>IF(ISNUMBER(((Datos!L14/Datos!K14)*11)/factor_trimestre),((Datos!L14/Datos!K14)*11)/factor_trimestre," - ")</f>
        <v>4.784313725490196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-0.29411764705882354</v>
      </c>
      <c r="AU14" s="1257" t="str">
        <f>IF(ISNUMBER((DatosP!#REF!-DatosP!#REF!+DatosP!#REF!)/(DatosP!#REF!+DatosP!#REF!-DatosP!#REF!-DatosP!#REF!)),(DatosP!#REF!-DatosP!#REF!+DatosP!#REF!)/(DatosP!#REF!+DatosP!#REF!-DatosP!#REF!-DatosP!#REF!)," - ")</f>
        <v xml:space="preserve"> - </v>
      </c>
      <c r="AV14" s="1263">
        <f>SUBTOTAL(9,AV9:AV13)</f>
        <v>2.2994652406417113E-2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1.9159935379644588</v>
      </c>
      <c r="AQ23" s="1262">
        <f>IF(ISNUMBER(((Datos!M23/Datos!L23)*11)/factor_trimestre),((Datos!M23/Datos!L23)*11)/factor_trimestre," - ")</f>
        <v>0.27655986509274871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3.825136612021858E-2</v>
      </c>
      <c r="AW23" s="1265">
        <f>IF(ISNUMBER((Datos!Q23-Datos!R23)/(Datos!S23-Datos!Q23+Datos!R23)),(Datos!Q23-Datos!R23)/(Datos!S23-Datos!Q23+Datos!R23)," - ")</f>
        <v>-0.17694994179278231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163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120</v>
      </c>
      <c r="AE31" s="1284">
        <f t="shared" si="9"/>
        <v>0</v>
      </c>
      <c r="AF31" s="1285">
        <f t="shared" si="9"/>
        <v>15</v>
      </c>
      <c r="AG31" s="1285">
        <f t="shared" si="9"/>
        <v>0</v>
      </c>
      <c r="AH31" s="1285">
        <f t="shared" si="9"/>
        <v>1913</v>
      </c>
      <c r="AI31" s="1285">
        <f t="shared" si="9"/>
        <v>0</v>
      </c>
      <c r="AJ31" s="1286">
        <f t="shared" si="9"/>
        <v>0</v>
      </c>
      <c r="AK31" s="1286">
        <f t="shared" si="9"/>
        <v>0</v>
      </c>
      <c r="AL31" s="1278">
        <f t="shared" si="9"/>
        <v>194</v>
      </c>
      <c r="AM31" s="1278">
        <f t="shared" si="9"/>
        <v>276</v>
      </c>
      <c r="AN31" s="1278">
        <f t="shared" si="9"/>
        <v>0</v>
      </c>
      <c r="AO31" s="1278">
        <f t="shared" si="9"/>
        <v>0</v>
      </c>
      <c r="AP31" s="1278">
        <f>IF(ISNUMBER(((Datos!L31/Datos!K31)*11)/factor_trimestre),((Datos!L31/Datos!K31)*11)/factor_trimestre," - ")</f>
        <v>3.2796610169491527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-0.29411764705882354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2.4236548715462918E-2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99.411602273913005</v>
      </c>
      <c r="AM33" s="1006"/>
      <c r="AN33" s="1006">
        <f>IF(ISNUMBER(STDEV(AN8:AN30)),STDEV(AN8:AN30),"-")</f>
        <v>0</v>
      </c>
      <c r="AO33" s="1012">
        <f>IF(ISNUMBER(STDEV(AO8:AO30)),STDEV(AO8:AO30),"-")</f>
        <v>0</v>
      </c>
      <c r="AP33" s="1065">
        <f>IF(ISNUMBER(STDEV(AP8:AP30)),STDEV(AP8:AP30),"-")</f>
        <v>1.7147228150392881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6qhkctWvUT5bxn6uaPD2ZsDfIXblRyq0e2WJp3WSK8+E8v4OmL2HVlZXUx53EjNgIWl9VRc/Hule5tTMCXqsw==" saltValue="w/uVcJnRi2FoAKFAWVkY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SIERO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AEg9IY01zKi5CpH11lUmHIdj0ogYWVrZYogqMmveOG1DACCjOkzn5DcXBS83eBNi1x4Ktw0S2aS+Tv44PNpcw==" saltValue="3B9oSBJ4gMrNdxTLAKgh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SIERO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192</v>
      </c>
      <c r="E12" s="452">
        <f t="shared" si="0"/>
        <v>48</v>
      </c>
      <c r="F12" s="451">
        <f>IF(ISNUMBER(Datos!N12),Datos!N12," - ")</f>
        <v>276</v>
      </c>
      <c r="G12" s="452">
        <f t="shared" si="1"/>
        <v>69</v>
      </c>
      <c r="H12" s="451">
        <f>IF(ISNUMBER(Datos!O12),Datos!O12," - ")</f>
        <v>238</v>
      </c>
      <c r="I12" s="452">
        <f t="shared" si="2"/>
        <v>59.5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194</v>
      </c>
      <c r="E14" s="1147">
        <f t="shared" si="0"/>
        <v>38.799999999999997</v>
      </c>
      <c r="F14" s="1146">
        <f>SUBTOTAL(9,F9:F13)</f>
        <v>276</v>
      </c>
      <c r="G14" s="1147">
        <f t="shared" si="1"/>
        <v>55.2</v>
      </c>
      <c r="H14" s="1146">
        <f>SUBTOTAL(9,H9:H13)</f>
        <v>239</v>
      </c>
      <c r="I14" s="1147">
        <f>IF(ISNUMBER(H14/B14),H14/B14," - ")</f>
        <v>47.8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76</v>
      </c>
      <c r="E17" s="452">
        <f t="shared" si="3"/>
        <v>19</v>
      </c>
      <c r="F17" s="451">
        <f>IF(ISNUMBER(Datos!N17),Datos!N17," - ")</f>
        <v>329</v>
      </c>
      <c r="G17" s="452">
        <f t="shared" si="4"/>
        <v>82.25</v>
      </c>
      <c r="H17" s="451">
        <f>IF(ISNUMBER(Datos!O17),Datos!O17," - ")</f>
        <v>33</v>
      </c>
      <c r="I17" s="452">
        <f t="shared" si="5"/>
        <v>8.25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21</v>
      </c>
      <c r="G18" s="452">
        <f>IF(ISNUMBER(F18/B18),F18/B18," - ")</f>
        <v>21</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82</v>
      </c>
      <c r="E23" s="1147">
        <f t="shared" si="3"/>
        <v>16.399999999999999</v>
      </c>
      <c r="F23" s="1146">
        <f>SUBTOTAL(9,F16:F22)</f>
        <v>350</v>
      </c>
      <c r="G23" s="1147">
        <f t="shared" si="4"/>
        <v>70</v>
      </c>
      <c r="H23" s="1146">
        <f>SUBTOTAL(9,H16:H22)</f>
        <v>35</v>
      </c>
      <c r="I23" s="1147">
        <f>IF(ISNUMBER(H23/B23),H23/B23," - ")</f>
        <v>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276</v>
      </c>
      <c r="E31" s="1085">
        <f>IF(ISNUMBER(D31/B31),D31/B31," - ")</f>
        <v>69</v>
      </c>
      <c r="F31" s="1084">
        <f>SUBTOTAL(9,F8:F30)</f>
        <v>626</v>
      </c>
      <c r="G31" s="1085">
        <f>IF(ISNUMBER(F31/B31),F31/B31," - ")</f>
        <v>156.5</v>
      </c>
      <c r="H31" s="1084">
        <f>SUBTOTAL(9,H8:H30)</f>
        <v>274</v>
      </c>
      <c r="I31" s="1085">
        <f>IF(ISNUMBER(H31/B31),H31/B31," - ")</f>
        <v>68.5</v>
      </c>
    </row>
    <row r="34" spans="1:1">
      <c r="A34" s="439" t="str">
        <f>Criterios!A4</f>
        <v>Fecha Informe: 06 may. 2023</v>
      </c>
    </row>
    <row r="39" spans="1:1">
      <c r="A39" s="462"/>
    </row>
  </sheetData>
  <sheetProtection algorithmName="SHA-512" hashValue="iz+FoGTt1QTWYDBT8sZFeMx/gtVeL9V8a43P9Eq5Hkeqnh+vu7l+K8N6X2k2MCn/k023gswjh3yy002qWS+vKQ==" saltValue="/xYP8eK3XlS9DPfSzZno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SIERO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163</v>
      </c>
      <c r="C12" s="489">
        <f>IF(ISNUMBER(Datos!Q12),Datos!Q12," - ")</f>
        <v>120</v>
      </c>
      <c r="D12" s="456">
        <f>IF(ISNUMBER(Datos!R12),Datos!R12," - ")</f>
        <v>1913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163</v>
      </c>
      <c r="C14" s="1150">
        <f>SUBTOTAL(9,C9:C13)</f>
        <v>120</v>
      </c>
      <c r="D14" s="1148">
        <f>SUBTOTAL(9,D9:D13)</f>
        <v>1923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35</v>
      </c>
      <c r="D17" s="456">
        <f>IF(ISNUMBER(Datos!R17),Datos!R17," - ")</f>
        <v>189</v>
      </c>
    </row>
    <row r="18" spans="1:4">
      <c r="A18" s="450" t="str">
        <f>Datos!A18</f>
        <v>Jdos. Violencia contra la mujer</v>
      </c>
      <c r="B18" s="488">
        <f>IF(ISNUMBER(Datos!P18),Datos!P18," - ")</f>
        <v>1</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38</v>
      </c>
      <c r="D23" s="1148">
        <f>SUBTOTAL(9,D16:D22)</f>
        <v>190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208</v>
      </c>
      <c r="C31" s="1089">
        <f>SUBTOTAL(9,C8:C30)</f>
        <v>158</v>
      </c>
      <c r="D31" s="1090">
        <f>SUBTOTAL(9,D8:D30)</f>
        <v>2113</v>
      </c>
    </row>
    <row r="32" spans="1:4" ht="7.5" customHeight="1"/>
    <row r="33" spans="1:1" ht="6" customHeight="1"/>
    <row r="34" spans="1:1">
      <c r="A34" s="439" t="str">
        <f>Criterios!A4</f>
        <v>Fecha Informe: 06 may. 2023</v>
      </c>
    </row>
    <row r="39" spans="1:1">
      <c r="A39" s="462"/>
    </row>
  </sheetData>
  <sheetProtection algorithmName="SHA-512" hashValue="W2uryekWh9aAIlEQ8j01FLKizKVprih54rxdA+dtWWsboUwygL/D0jfTlNEQvxlF5yWPDYwKNCBCQwGhGDF9DA==" saltValue="PeMChETeCjO9+r22ucc3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SIERO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0.41666666666666669</v>
      </c>
      <c r="C10" s="515">
        <f>IF(ISNUMBER((Datos!J10-Datos!T10)/Datos!T10),(Datos!J10-Datos!T10)/Datos!T10," - ")</f>
        <v>0</v>
      </c>
      <c r="D10" s="515">
        <f>IF(ISNUMBER((Datos!K10-Datos!U10)/Datos!U10),(Datos!K10-Datos!U10)/Datos!U10," - ")</f>
        <v>0.66666666666666663</v>
      </c>
      <c r="E10" s="515">
        <f>IF(ISNUMBER((Datos!L10-Datos!V10)/Datos!V10),(Datos!L10-Datos!V10)/Datos!V10," - ")</f>
        <v>0.25</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-0.25</v>
      </c>
      <c r="J10" s="521">
        <f>IF(ISNUMBER((('Resol  Asuntos'!D10/NºAsuntos!G10)-Datos!BF10)/Datos!BF10),(('Resol  Asuntos'!D10/NºAsuntos!G10)-Datos!BF10)/Datos!BF10," - ")</f>
        <v>-0.6</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7.9491255961844202E-4</v>
      </c>
      <c r="C12" s="515">
        <f>IF(ISNUMBER(
   IF(J_V="SI",(Datos!J12-Datos!T12)/Datos!T12,(Datos!J12+Datos!Z12-(Datos!T12+Datos!AH12))/(Datos!T12+Datos!AH12))
     ),IF(J_V="SI",(Datos!J12-Datos!T12)/Datos!T12,(Datos!J12+Datos!Z12-(Datos!T12+Datos!AH12))/(Datos!T12+Datos!AH12))," - ")</f>
        <v>0.29391304347826086</v>
      </c>
      <c r="D12" s="515">
        <f>IF(ISNUMBER(
   IF(J_V="SI",(Datos!K12-Datos!U12)/Datos!U12,(Datos!K12+Datos!AA12-(Datos!U12+Datos!AI12))/(Datos!U12+Datos!AI12))
     ),IF(J_V="SI",(Datos!K12-Datos!U12)/Datos!U12,(Datos!K12+Datos!AA12-(Datos!U12+Datos!AI12))/(Datos!U12+Datos!AI12))," - ")</f>
        <v>0.2283464566929134</v>
      </c>
      <c r="E12" s="515">
        <f>IF(ISNUMBER(
   IF(J_V="SI",(Datos!L12-Datos!V12)/Datos!V12,(Datos!L12+Datos!AB12-(Datos!V12+Datos!AJ12))/(Datos!V12+Datos!AJ12))
     ),IF(J_V="SI",(Datos!L12-Datos!V12)/Datos!V12,(Datos!L12+Datos!AB12-(Datos!V12+Datos!AJ12))/(Datos!V12+Datos!AJ12))," - ")</f>
        <v>4.0754716981132075E-2</v>
      </c>
      <c r="F12" s="515">
        <f>IF(ISNUMBER((Datos!M12-Datos!W12)/Datos!W12),(Datos!M12-Datos!W12)/Datos!W12," - ")</f>
        <v>9.7142857142857142E-2</v>
      </c>
      <c r="G12" s="516">
        <f>IF(ISNUMBER((Datos!N12-Datos!X12)/Datos!X12),(Datos!N12-Datos!X12)/Datos!X12," - ")</f>
        <v>0.54189944134078216</v>
      </c>
      <c r="H12" s="514">
        <f>IF(ISNUMBER(((NºAsuntos!G12/NºAsuntos!E12)-Datos!BD12)/Datos!BD12),((NºAsuntos!G12/NºAsuntos!E12)-Datos!BD12)/Datos!BD12," - ")</f>
        <v>-5.0673101346202711E-2</v>
      </c>
      <c r="I12" s="515">
        <f>IF(ISNUMBER(((NºAsuntos!I12/NºAsuntos!G12)-Datos!BE12)/Datos!BE12),((NºAsuntos!I12/NºAsuntos!G12)-Datos!BE12)/Datos!BE12," - ")</f>
        <v>-0.15271891630382192</v>
      </c>
      <c r="J12" s="521">
        <f>IF(ISNUMBER((('Resol  Asuntos'!D12/NºAsuntos!G12)-Datos!BF12)/Datos!BF12),(('Resol  Asuntos'!D12/NºAsuntos!G12)-Datos!BF12)/Datos!BF12," - ")</f>
        <v>-0.12677266867210993</v>
      </c>
      <c r="K12" s="522">
        <f>IF(ISNUMBER((((NºAsuntos!C12+NºAsuntos!E12)/NºAsuntos!G12)-Datos!BG12)/Datos!BG12),(((NºAsuntos!C12+NºAsuntos!E12)/NºAsuntos!G12)-Datos!BG12)/Datos!BG12," - ")</f>
        <v>-0.11039419754640702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4.7244094488188976E-3</v>
      </c>
      <c r="C14" s="1152">
        <f>IF(ISNUMBER(
   IF(J_V="SI",(Datos!J14-Datos!T14)/Datos!T14,(Datos!J14+Datos!Z14-(Datos!T14+Datos!AH14))/(Datos!T14+Datos!AH14))
     ),IF(J_V="SI",(Datos!J14-Datos!T14)/Datos!T14,(Datos!J14+Datos!Z14-(Datos!T14+Datos!AH14))/(Datos!T14+Datos!AH14))," - ")</f>
        <v>0.29238754325259514</v>
      </c>
      <c r="D14" s="1152">
        <f>IF(ISNUMBER(
   IF(J_V="SI",(Datos!K14-Datos!U14)/Datos!U14,(Datos!K14+Datos!AA14-(Datos!U14+Datos!AI14))/(Datos!U14+Datos!AI14))
     ),IF(J_V="SI",(Datos!K14-Datos!U14)/Datos!U14,(Datos!K14+Datos!AA14-(Datos!U14+Datos!AI14))/(Datos!U14+Datos!AI14))," - ")</f>
        <v>0.2309197651663405</v>
      </c>
      <c r="E14" s="1152">
        <f>IF(ISNUMBER(
   IF(J_V="SI",(Datos!L14-Datos!V14)/Datos!V14,(Datos!L14+Datos!AB14-(Datos!V14+Datos!AJ14))/(Datos!V14+Datos!AJ14))
     ),IF(J_V="SI",(Datos!L14-Datos!V14)/Datos!V14,(Datos!L14+Datos!AB14-(Datos!V14+Datos!AJ14))/(Datos!V14+Datos!AJ14))," - ")</f>
        <v>4.2632759910246822E-2</v>
      </c>
      <c r="F14" s="1153">
        <f>IF(ISNUMBER((Datos!M14-Datos!W14)/Datos!W14),(Datos!M14-Datos!W14)/Datos!W14," - ")</f>
        <v>8.98876404494382E-2</v>
      </c>
      <c r="G14" s="1154">
        <f>IF(ISNUMBER((Datos!N14-Datos!X14)/Datos!X14),(Datos!N14-Datos!X14)/Datos!X14," - ")</f>
        <v>0.54189944134078216</v>
      </c>
      <c r="H14" s="1154">
        <f>IF(ISNUMBER(((NºAsuntos!G14/NºAsuntos!E14)-Datos!BD14)/Datos!BD14),((NºAsuntos!G14/NºAsuntos!E14)-Datos!BD14)/Datos!BD14," - ")</f>
        <v>-4.7561413298333542E-2</v>
      </c>
      <c r="I14" s="1154">
        <f>IF(ISNUMBER(((NºAsuntos!I14/NºAsuntos!G14)-Datos!BE14)/Datos!BE14),((NºAsuntos!I14/NºAsuntos!G14)-Datos!BE14)/Datos!BE14," - ")</f>
        <v>-0.15296448280741468</v>
      </c>
      <c r="J14" s="1154">
        <f>IF(ISNUMBER((('Resol  Asuntos'!D14/NºAsuntos!G14)-Datos!BF14)/Datos!BF14),(('Resol  Asuntos'!D14/NºAsuntos!G14)-Datos!BF14)/Datos!BF14," - ")</f>
        <v>-0.13403448697566345</v>
      </c>
      <c r="K14" s="1154">
        <f>IF(ISNUMBER((((NºAsuntos!C14+NºAsuntos!E14)/NºAsuntos!G14)-Datos!BG14)/Datos!BG14),(((NºAsuntos!C14+NºAsuntos!E14)/NºAsuntos!G14)-Datos!BG14)/Datos!BG14," - ")</f>
        <v>-0.11066748566748562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-0.12833333333333333</v>
      </c>
      <c r="C17" s="515">
        <f>IF(ISNUMBER(
   IF(D_I="SI",(Datos!J17-Datos!T17)/Datos!T17,(Datos!J17+Datos!AD17-(Datos!T17+Datos!AL17))/(Datos!T17+Datos!AL17))
     ),IF(D_I="SI",(Datos!J17-Datos!T17)/Datos!T17,(Datos!J17+Datos!AD17-(Datos!T17+Datos!AL17))/(Datos!T17+Datos!AL17))," - ")</f>
        <v>8.7656529516994638E-2</v>
      </c>
      <c r="D17" s="515">
        <f>IF(ISNUMBER(
   IF(D_I="SI",(Datos!K17-Datos!U17)/Datos!U17,(Datos!K17+Datos!AE17-(Datos!U17+Datos!AM17))/(Datos!U17+Datos!AM17))
     ),IF(D_I="SI",(Datos!K17-Datos!U17)/Datos!U17,(Datos!K17+Datos!AE17-(Datos!U17+Datos!AM17))/(Datos!U17+Datos!AM17))," - ")</f>
        <v>-1.7391304347826088E-3</v>
      </c>
      <c r="E17" s="515">
        <f>IF(ISNUMBER(
   IF(D_I="SI",(Datos!L17-Datos!V17)/Datos!V17,(Datos!L17+Datos!AF17-(Datos!V17+Datos!AN17))/(Datos!V17+Datos!AN17))
     ),IF(D_I="SI",(Datos!L17-Datos!V17)/Datos!V17,(Datos!L17+Datos!AF17-(Datos!V17+Datos!AN17))/(Datos!V17+Datos!AN17))," - ")</f>
        <v>-3.87858347386172E-2</v>
      </c>
      <c r="F17" s="515">
        <f>IF(ISNUMBER((Datos!M17-Datos!W17)/Datos!W17),(Datos!M17-Datos!W17)/Datos!W17," - ")</f>
        <v>-0.12643678160919541</v>
      </c>
      <c r="G17" s="516">
        <f>IF(ISNUMBER((Datos!N17-Datos!X17)/Datos!X17),(Datos!N17-Datos!X17)/Datos!X17," - ")</f>
        <v>8.2236842105263164E-2</v>
      </c>
      <c r="H17" s="514">
        <f>IF(ISNUMBER(((NºAsuntos!G17/NºAsuntos!E17)-Datos!BD17)/Datos!BD17),((NºAsuntos!G17/NºAsuntos!E17)-Datos!BD17)/Datos!BD17," - ")</f>
        <v>-8.2191075514874146E-2</v>
      </c>
      <c r="I17" s="515">
        <f>IF(ISNUMBER(((NºAsuntos!I17/NºAsuntos!G17)-Datos!BE17)/Datos!BE17),((NºAsuntos!I17/NºAsuntos!G17)-Datos!BE17)/Datos!BE17," - ")</f>
        <v>-3.7111245600531299E-2</v>
      </c>
      <c r="J17" s="521">
        <f>IF(ISNUMBER((('Resol  Asuntos'!D17/NºAsuntos!G17)-Datos!BF17)/Datos!BF17),(('Resol  Asuntos'!D17/NºAsuntos!G17)-Datos!BF17)/Datos!BF17," - ")</f>
        <v>-0.12491489446914177</v>
      </c>
      <c r="K17" s="522">
        <f>IF(ISNUMBER((((NºAsuntos!C17+NºAsuntos!E17)/NºAsuntos!G17)-Datos!BG17)/Datos!BG17),(((NºAsuntos!C17+NºAsuntos!E17)/NºAsuntos!G17)-Datos!BG17)/Datos!BG17," - ")</f>
        <v>-2.2458685698652826E-2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-0.81308411214953269</v>
      </c>
      <c r="C18" s="515">
        <f>IF(ISNUMBER(
   IF(D_I="SI",(Datos!J18-Datos!T18)/Datos!T18,(Datos!J18+Datos!AD18-(Datos!T18+Datos!AL18))/(Datos!T18+Datos!AL18))
     ),IF(D_I="SI",(Datos!J18-Datos!T18)/Datos!T18,(Datos!J18+Datos!AD18-(Datos!T18+Datos!AL18))/(Datos!T18+Datos!AL18))," - ")</f>
        <v>4.5454545454545456E-2</v>
      </c>
      <c r="D18" s="515">
        <f>IF(ISNUMBER(
   IF(D_I="SI",(Datos!K18-Datos!U18)/Datos!U18,(Datos!K18+Datos!AE18-(Datos!U18+Datos!AM18))/(Datos!U18+Datos!AM18))
     ),IF(D_I="SI",(Datos!K18-Datos!U18)/Datos!U18,(Datos!K18+Datos!AE18-(Datos!U18+Datos!AM18))/(Datos!U18+Datos!AM18))," - ")</f>
        <v>-0.33823529411764708</v>
      </c>
      <c r="E18" s="515">
        <f>IF(ISNUMBER(
   IF(D_I="SI",(Datos!L18-Datos!V18)/Datos!V18,(Datos!L18+Datos!AF18-(Datos!V18+Datos!AN18))/(Datos!V18+Datos!AN18))
     ),IF(D_I="SI",(Datos!L18-Datos!V18)/Datos!V18,(Datos!L18+Datos!AF18-(Datos!V18+Datos!AN18))/(Datos!V18+Datos!AN18))," - ")</f>
        <v>-0.73255813953488369</v>
      </c>
      <c r="F18" s="515">
        <f>IF(ISNUMBER((Datos!M18-Datos!W18)/Datos!W18),(Datos!M18-Datos!W18)/Datos!W18," - ")</f>
        <v>0</v>
      </c>
      <c r="G18" s="516">
        <f>IF(ISNUMBER((Datos!N18-Datos!X18)/Datos!X18),(Datos!N18-Datos!X18)/Datos!X18," - ")</f>
        <v>-0.25</v>
      </c>
      <c r="H18" s="514">
        <f>IF(ISNUMBER(((NºAsuntos!G18/NºAsuntos!E18)-Datos!BD18)/Datos!BD18),((NºAsuntos!G18/NºAsuntos!E18)-Datos!BD18)/Datos!BD18," - ")</f>
        <v>-0.36700767263427109</v>
      </c>
      <c r="I18" s="515">
        <f>IF(ISNUMBER(((NºAsuntos!I18/NºAsuntos!G18)-Datos!BE18)/Datos!BE18),((NºAsuntos!I18/NºAsuntos!G18)-Datos!BE18)/Datos!BE18," - ")</f>
        <v>-0.59586563307493545</v>
      </c>
      <c r="J18" s="521">
        <f>IF(ISNUMBER((('Resol  Asuntos'!D18/NºAsuntos!G18)-Datos!BF18)/Datos!BF18),(('Resol  Asuntos'!D18/NºAsuntos!G18)-Datos!BF18)/Datos!BF18," - ")</f>
        <v>0.51111111111111096</v>
      </c>
      <c r="K18" s="522">
        <f>IF(ISNUMBER((((NºAsuntos!C18+NºAsuntos!E18)/NºAsuntos!G18)-Datos!BG18)/Datos!BG18),(((NºAsuntos!C18+NºAsuntos!E18)/NºAsuntos!G18)-Datos!BG18)/Datos!BG18," - ")</f>
        <v>-0.33951434878587206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-0.23196605374823195</v>
      </c>
      <c r="C23" s="1152">
        <f>IF(ISNUMBER(
   IF(Criterios!B14="SI",(Datos!J23-Datos!T23)/Datos!T23,(Datos!J23+Datos!AD23-(Datos!T23+Datos!AL23))/(Datos!T23+Datos!AL23))
     ),IF(Criterios!B14="SI",(Datos!J23-Datos!T23)/Datos!T23,(Datos!J23+Datos!AD23-(Datos!T23+Datos!AL23))/(Datos!T23+Datos!AL23))," - ")</f>
        <v>8.45771144278607E-2</v>
      </c>
      <c r="D23" s="1152">
        <f>IF(ISNUMBER(
   IF(Criterios!B14="SI",(Datos!K23-Datos!U23)/Datos!U23,(Datos!K23+Datos!AE23-(Datos!U23+Datos!AM23))/(Datos!U23+Datos!AM23))
     ),IF(Criterios!B14="SI",(Datos!K23-Datos!U23)/Datos!U23,(Datos!K23+Datos!AE23-(Datos!U23+Datos!AM23))/(Datos!U23+Datos!AM23))," - ")</f>
        <v>-3.7325038880248837E-2</v>
      </c>
      <c r="E23" s="1152">
        <f>IF(ISNUMBER(
   IF(Criterios!B14="SI",(Datos!L23-Datos!V23)/Datos!V23,(Datos!L23+Datos!AF23-(Datos!V23+Datos!AN23))/(Datos!V23+Datos!AN23))
     ),IF(Criterios!B14="SI",(Datos!L23-Datos!V23)/Datos!V23,(Datos!L23+Datos!AF23-(Datos!V23+Datos!AN23))/(Datos!V23+Datos!AN23))," - ")</f>
        <v>-0.12665684830633284</v>
      </c>
      <c r="F23" s="1153">
        <f>IF(ISNUMBER((Datos!M23-Datos!W23)/Datos!W23),(Datos!M23-Datos!W23)/Datos!W23," - ")</f>
        <v>-0.11827956989247312</v>
      </c>
      <c r="G23" s="1154">
        <f>IF(ISNUMBER((Datos!N23-Datos!X23)/Datos!X23),(Datos!N23-Datos!X23)/Datos!X23," - ")</f>
        <v>5.4216867469879519E-2</v>
      </c>
      <c r="H23" s="1154">
        <f>IF(ISNUMBER(((NºAsuntos!G23/NºAsuntos!E23)-Datos!BD23)/Datos!BD23),((NºAsuntos!G23/NºAsuntos!E23)-Datos!BD23)/Datos!BD23," - ")</f>
        <v>-0.11239602208683491</v>
      </c>
      <c r="I23" s="1154">
        <f>IF(ISNUMBER(((NºAsuntos!I23/NºAsuntos!G23)-Datos!BE23)/Datos!BE23),((NºAsuntos!I23/NºAsuntos!G23)-Datos!BE23)/Datos!BE23," - ")</f>
        <v>-9.2795401390907958E-2</v>
      </c>
      <c r="J23" s="1154">
        <f>IF(ISNUMBER((('Resol  Asuntos'!D23/NºAsuntos!G23)-Datos!BF23)/Datos!BF23),(('Resol  Asuntos'!D23/NºAsuntos!G23)-Datos!BF23)/Datos!BF23," - ")</f>
        <v>-8.4093317351955257E-2</v>
      </c>
      <c r="K23" s="1154">
        <f>IF(ISNUMBER((((NºAsuntos!C23+NºAsuntos!E23)/NºAsuntos!G23)-Datos!BG23)/Datos!BG23),(((NºAsuntos!C23+NºAsuntos!E23)/NºAsuntos!G23)-Datos!BG23)/Datos!BG23," - ")</f>
        <v>-5.0831802093995473E-2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-7.9919069296914516E-2</v>
      </c>
      <c r="C31" s="1092">
        <f>IF(ISNUMBER(
   IF(J_V="SI",(Datos!J31-Datos!T31)/Datos!T31,(Datos!J31+Datos!Z31-(Datos!T31+Datos!AH31))/(Datos!T31+Datos!AH31))
     ),IF(J_V="SI",(Datos!J31-Datos!T31)/Datos!T31,(Datos!J31+Datos!Z31-(Datos!T31+Datos!AH31))/(Datos!T31+Datos!AH31))," - ")</f>
        <v>0.18628281117696868</v>
      </c>
      <c r="D31" s="1092">
        <f>IF(ISNUMBER(
   IF(J_V="SI",(Datos!K31-Datos!U31)/Datos!U31,(Datos!K31+Datos!AA31-(Datos!U31+Datos!AI31))/(Datos!U31+Datos!AI31))
     ),IF(J_V="SI",(Datos!K31-Datos!U31)/Datos!U31,(Datos!K31+Datos!AA31-(Datos!U31+Datos!AI31))/(Datos!U31+Datos!AI31))," - ")</f>
        <v>8.1455805892547667E-2</v>
      </c>
      <c r="E31" s="1092">
        <f>IF(ISNUMBER(
   IF(J_V="SI",(Datos!L31-Datos!V31)/Datos!V31,(Datos!L31+Datos!AB31-(Datos!V31+Datos!AJ31))/(Datos!V31+Datos!AJ31))
     ),IF(J_V="SI",(Datos!L31-Datos!V31)/Datos!V31,(Datos!L31+Datos!AB31-(Datos!V31+Datos!AJ31))/(Datos!V31+Datos!AJ31))," - ")</f>
        <v>-1.4384920634920634E-2</v>
      </c>
      <c r="F31" s="1093">
        <f>IF(ISNUMBER((Datos!M31-Datos!W31)/Datos!W31),(Datos!M31-Datos!W31)/Datos!W31," - ")</f>
        <v>1.8450184501845018E-2</v>
      </c>
      <c r="G31" s="1094">
        <f>IF(ISNUMBER((Datos!N31-Datos!X31)/Datos!X31),(Datos!N31-Datos!X31)/Datos!X31," - ")</f>
        <v>0.22504892367906065</v>
      </c>
      <c r="H31" s="1095">
        <f>IF(ISNUMBER((Tasas!B31-Datos!BD31)/Datos!BD31),(Tasas!B31-Datos!BD31)/Datos!BD31," - ")</f>
        <v>-8.8365948066310665E-2</v>
      </c>
      <c r="I31" s="1096">
        <f>IF(ISNUMBER((Tasas!C31-Datos!BE31)/Datos!BE31),(Tasas!C31-Datos!BE31)/Datos!BE31," - ")</f>
        <v>-8.8621953856328803E-2</v>
      </c>
      <c r="J31" s="1097">
        <f>IF(ISNUMBER((Tasas!D31-Datos!BF31)/Datos!BF31),(Tasas!D31-Datos!BF31)/Datos!BF31," - ")</f>
        <v>-7.1958041958041952E-2</v>
      </c>
      <c r="K31" s="1097">
        <f>IF(ISNUMBER((Tasas!E31-Datos!BG31)/Datos!BG31),(Tasas!E31-Datos!BG31)/Datos!BG31," - ")</f>
        <v>-5.7166577353404399E-2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vpfBjE0PoUkFHkcfVEiUmC1lo5SOGsIRebyfsQBCr7YoEsFagK0Gyo9uW3xSPbcaWy7LzAMZAVGKAl0TGM1tQ==" saltValue="74HS4BC475a/A+eHZLq7+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SIERO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3</v>
      </c>
      <c r="D10" s="499">
        <f>IF(ISNUMBER('Resol  Asuntos'!D10/NºAsuntos!G10),'Resol  Asuntos'!D10/NºAsuntos!G10," - ")</f>
        <v>0.4</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0.83870967741935487</v>
      </c>
      <c r="C12" s="498">
        <f>IF(ISNUMBER(NºAsuntos!I12/NºAsuntos!G12),NºAsuntos!I12/NºAsuntos!G12," - ")</f>
        <v>2.2099358974358974</v>
      </c>
      <c r="D12" s="499">
        <f>IF(ISNUMBER('Resol  Asuntos'!D12/NºAsuntos!G12),'Resol  Asuntos'!D12/NºAsuntos!G12," - ")</f>
        <v>0.30769230769230771</v>
      </c>
      <c r="E12" s="500">
        <f>IF(ISNUMBER((NºAsuntos!C12+NºAsuntos!E12)/NºAsuntos!G12),(NºAsuntos!C12+NºAsuntos!E12)/NºAsuntos!G12," - ")</f>
        <v>3.2099358974358974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0.84203480589022761</v>
      </c>
      <c r="C14" s="1156">
        <f>IF(ISNUMBER(NºAsuntos!I14/NºAsuntos!G14),NºAsuntos!I14/NºAsuntos!G14," - ")</f>
        <v>2.2162162162162162</v>
      </c>
      <c r="D14" s="1157">
        <f>IF(ISNUMBER('Resol  Asuntos'!D14/NºAsuntos!G14),'Resol  Asuntos'!D14/NºAsuntos!G14," - ")</f>
        <v>0.30842607313195547</v>
      </c>
      <c r="E14" s="1158">
        <f>IF(ISNUMBER((NºAsuntos!C14+NºAsuntos!E14)/NºAsuntos!G14),(NºAsuntos!C14+NºAsuntos!E14)/NºAsuntos!G14," - ")</f>
        <v>3.2162162162162162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0.94407894736842102</v>
      </c>
      <c r="C17" s="498">
        <f>IF(ISNUMBER(NºAsuntos!I17/NºAsuntos!G17),NºAsuntos!I17/NºAsuntos!G17," - ")</f>
        <v>0.99303135888501737</v>
      </c>
      <c r="D17" s="499">
        <f>IF(ISNUMBER('Resol  Asuntos'!D17/NºAsuntos!G17),'Resol  Asuntos'!D17/NºAsuntos!G17," - ")</f>
        <v>0.13240418118466898</v>
      </c>
      <c r="E17" s="500">
        <f>IF(ISNUMBER((NºAsuntos!C17+NºAsuntos!E17)/NºAsuntos!G17),(NºAsuntos!C17+NºAsuntos!E17)/NºAsuntos!G17," - ")</f>
        <v>1.970383275261324</v>
      </c>
      <c r="G17" s="523"/>
    </row>
    <row r="18" spans="1:7">
      <c r="A18" s="450" t="str">
        <f>Datos!A18</f>
        <v>Jdos. Violencia contra la mujer</v>
      </c>
      <c r="B18" s="497">
        <f>IF(ISNUMBER(NºAsuntos!G18/NºAsuntos!E18),NºAsuntos!G18/NºAsuntos!E18," - ")</f>
        <v>0.97826086956521741</v>
      </c>
      <c r="C18" s="498">
        <f>IF(ISNUMBER(NºAsuntos!I18/NºAsuntos!G18),NºAsuntos!I18/NºAsuntos!G18," - ")</f>
        <v>0.51111111111111107</v>
      </c>
      <c r="D18" s="499">
        <f>IF(ISNUMBER('Resol  Asuntos'!D18/NºAsuntos!G18),'Resol  Asuntos'!D18/NºAsuntos!G18," - ")</f>
        <v>0.13333333333333333</v>
      </c>
      <c r="E18" s="500">
        <f>IF(ISNUMBER((NºAsuntos!C18+NºAsuntos!E18)/NºAsuntos!G18),(NºAsuntos!C18+NºAsuntos!E18)/NºAsuntos!G18," - ")</f>
        <v>1.4666666666666666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0.94648318042813451</v>
      </c>
      <c r="C23" s="1156">
        <f>IF(ISNUMBER(NºAsuntos!I23/NºAsuntos!G23),NºAsuntos!I23/NºAsuntos!G23," - ")</f>
        <v>0.95799676898222941</v>
      </c>
      <c r="D23" s="1159">
        <f>IF(ISNUMBER('Resol  Asuntos'!D23/NºAsuntos!G23),'Resol  Asuntos'!D23/NºAsuntos!G23," - ")</f>
        <v>0.13247172859450726</v>
      </c>
      <c r="E23" s="1158">
        <f>IF(ISNUMBER((NºAsuntos!C23+NºAsuntos!E23)/NºAsuntos!G23),(NºAsuntos!C23+NºAsuntos!E23)/NºAsuntos!G23," - ")</f>
        <v>1.9337641357027464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0.8907922912205567</v>
      </c>
      <c r="C31" s="1099">
        <f>IF(ISNUMBER(NºAsuntos!I31/NºAsuntos!G31),NºAsuntos!I31/NºAsuntos!G31," - ")</f>
        <v>1.5921474358974359</v>
      </c>
      <c r="D31" s="1100">
        <f>IF(ISNUMBER('Resol  Asuntos'!D31/NºAsuntos!G31),'Resol  Asuntos'!D31/NºAsuntos!G31," - ")</f>
        <v>0.22115384615384615</v>
      </c>
      <c r="E31" s="1101">
        <f>IF(ISNUMBER((NºAsuntos!C31+NºAsuntos!E31)/NºAsuntos!G31),(NºAsuntos!C31+NºAsuntos!E31)/NºAsuntos!G31," - ")</f>
        <v>2.5801282051282053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0aBrbwhg2mDDRpjGJAgW/LuCZ/lBzVQNBTL5XS3G2HlF4UnSISkNxPNLT0wAiMBmJ1t1/SDvf79a0LhGhgQIA==" saltValue="3r/HD6W2sdPb1b3XhiNx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SIERO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15</v>
      </c>
      <c r="AB10" s="374">
        <f>IF(ISNUMBER(Datos!R10),Datos!R10," - ")</f>
        <v>10</v>
      </c>
      <c r="AC10" s="374">
        <f t="shared" ref="AC10:AC13" si="1">IF(ISNUMBER(AA10+AB10),AA10+AB10," - ")</f>
        <v>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6</v>
      </c>
      <c r="AN10" s="267">
        <f>IF(ISNUMBER('Resol  Asuntos'!D10/NºAsuntos!G10),'Resol  Asuntos'!D10/NºAsuntos!G10," - ")</f>
        <v>0.4</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120</v>
      </c>
      <c r="Y12" s="374">
        <f t="shared" si="0"/>
        <v>120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192</v>
      </c>
      <c r="AJ12" s="243" t="str">
        <f>IF(ISNUMBER(Datos!BW12),Datos!BW12," - ")</f>
        <v xml:space="preserve"> - </v>
      </c>
      <c r="AK12" s="242" t="str">
        <f>IF(ISNUMBER(Datos!BX12),Datos!BX12," - ")</f>
        <v xml:space="preserve"> - </v>
      </c>
      <c r="AL12" s="266">
        <f>IF(ISNUMBER(NºAsuntos!G12/NºAsuntos!E12),NºAsuntos!G12/NºAsuntos!E12," - ")</f>
        <v>0.83870967741935487</v>
      </c>
      <c r="AM12" s="284">
        <f>IF(ISNUMBER(((NºAsuntos!I12/NºAsuntos!G12)*11)/factor_trimestre),((NºAsuntos!I12/NºAsuntos!G12)*11)/factor_trimestre," - ")</f>
        <v>4.4198717948717947</v>
      </c>
      <c r="AN12" s="267">
        <f>IF(ISNUMBER('Resol  Asuntos'!D12/NºAsuntos!G12),'Resol  Asuntos'!D12/NºAsuntos!G12," - ")</f>
        <v>0.30769230769230771</v>
      </c>
      <c r="AO12" s="268">
        <f>IF(ISNUMBER((NºAsuntos!C12+NºAsuntos!E12)/NºAsuntos!G12),(NºAsuntos!C12+NºAsuntos!E12)/NºAsuntos!G12," - ")</f>
        <v>3.2099358974358974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17</v>
      </c>
      <c r="G14" s="1163">
        <f t="shared" si="5"/>
        <v>17</v>
      </c>
      <c r="H14" s="1162">
        <f t="shared" si="5"/>
        <v>0</v>
      </c>
      <c r="I14" s="1164">
        <f t="shared" si="5"/>
        <v>0</v>
      </c>
      <c r="J14" s="1164">
        <f t="shared" si="5"/>
        <v>0</v>
      </c>
      <c r="K14" s="1164">
        <f t="shared" si="5"/>
        <v>0</v>
      </c>
      <c r="L14" s="1164">
        <f t="shared" si="5"/>
        <v>163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120</v>
      </c>
      <c r="Y14" s="1165">
        <f t="shared" si="6"/>
        <v>125</v>
      </c>
      <c r="Z14" s="1165">
        <f t="shared" si="6"/>
        <v>0</v>
      </c>
      <c r="AA14" s="1165">
        <f t="shared" si="6"/>
        <v>15</v>
      </c>
      <c r="AB14" s="1165">
        <f t="shared" si="6"/>
        <v>1923</v>
      </c>
      <c r="AC14" s="1165">
        <f t="shared" si="6"/>
        <v>25</v>
      </c>
      <c r="AD14" s="1165">
        <f t="shared" si="6"/>
        <v>0</v>
      </c>
      <c r="AE14" s="1169">
        <f t="shared" si="6"/>
        <v>0</v>
      </c>
      <c r="AF14" s="1162">
        <f t="shared" si="6"/>
        <v>0</v>
      </c>
      <c r="AG14" s="1170">
        <f t="shared" si="6"/>
        <v>0</v>
      </c>
      <c r="AH14" s="1167">
        <f t="shared" si="6"/>
        <v>0</v>
      </c>
      <c r="AI14" s="1162">
        <f t="shared" si="6"/>
        <v>194</v>
      </c>
      <c r="AJ14" s="1164">
        <f t="shared" si="6"/>
        <v>0</v>
      </c>
      <c r="AK14" s="1167">
        <f>SUBTOTAL(9,AK9:AK13)</f>
        <v>0</v>
      </c>
      <c r="AL14" s="1171">
        <f>IF(ISNUMBER(NºAsuntos!G14/NºAsuntos!E14),NºAsuntos!G14/NºAsuntos!E14," - ")</f>
        <v>0.84203480589022761</v>
      </c>
      <c r="AM14" s="1171">
        <f>IF(ISNUMBER(((NºAsuntos!I14/NºAsuntos!G14)*11)/factor_trimestre),((NºAsuntos!I14/NºAsuntos!G14)*11)/factor_trimestre," - ")</f>
        <v>4.4324324324324325</v>
      </c>
      <c r="AN14" s="1172">
        <f>IF(ISNUMBER('Resol  Asuntos'!D14/NºAsuntos!G14),'Resol  Asuntos'!D14/NºAsuntos!G14," - ")</f>
        <v>0.30842607313195547</v>
      </c>
      <c r="AO14" s="1173">
        <f>IF(ISNUMBER((NºAsuntos!C14+NºAsuntos!E14)/NºAsuntos!G14),(NºAsuntos!C14+NºAsuntos!E14)/NºAsuntos!G14," - ")</f>
        <v>3.2162162162162162</v>
      </c>
      <c r="AP14" s="1174" t="str">
        <f t="shared" si="2"/>
        <v xml:space="preserve"> - </v>
      </c>
      <c r="AQ14" s="1174">
        <f>IF(ISNUMBER((H14-W14+K14)/(F14)),(H14-W14+K14)/(F14)," - ")</f>
        <v>-0.29411764705882354</v>
      </c>
      <c r="AR14" s="1175">
        <f>IF(ISNUMBER((Datos!P14-Datos!Q14)/(Datos!R14-Datos!P14+Datos!Q14)),(Datos!P14-Datos!Q14)/(Datos!R14-Datos!P14+Datos!Q14)," - ")</f>
        <v>2.2872340425531913E-2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536</v>
      </c>
      <c r="G17" s="373">
        <f>IF(ISNUMBER(IF(D_I="SI",Datos!I17,Datos!I17+Datos!AC17)),IF(D_I="SI",Datos!I17,Datos!I17+Datos!AC17)," - ")</f>
        <v>523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574</v>
      </c>
      <c r="X17" s="240">
        <f>IF(ISNUMBER(Datos!Q17),Datos!Q17," - ")</f>
        <v>35</v>
      </c>
      <c r="Y17" s="374">
        <f t="shared" ref="Y17:Y22" si="9">SUM(W17:X17)</f>
        <v>609</v>
      </c>
      <c r="Z17" s="375" t="str">
        <f>IF(ISNUMBER(Datos!CC17),Datos!CC17," - ")</f>
        <v xml:space="preserve"> - </v>
      </c>
      <c r="AA17" s="372">
        <f>IF(ISNUMBER(IF(D_I="SI",Datos!L17,Datos!L17+Datos!AF17)),IF(D_I="SI",Datos!L17,Datos!L17+Datos!AF17)," - ")</f>
        <v>570</v>
      </c>
      <c r="AB17" s="374">
        <f>IF(ISNUMBER(Datos!R17),Datos!R17," - ")</f>
        <v>189</v>
      </c>
      <c r="AC17" s="374">
        <f t="shared" si="8"/>
        <v>759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76</v>
      </c>
      <c r="AJ17" s="245" t="str">
        <f>IF(ISNUMBER(Datos!BW17),Datos!BW17," - ")</f>
        <v xml:space="preserve"> - </v>
      </c>
      <c r="AK17" s="246" t="str">
        <f>IF(ISNUMBER(Datos!BX17),Datos!BX17," - ")</f>
        <v xml:space="preserve"> - </v>
      </c>
      <c r="AL17" s="266">
        <f>IF(ISNUMBER(NºAsuntos!G17/NºAsuntos!E17),NºAsuntos!G17/NºAsuntos!E17," - ")</f>
        <v>0.94407894736842102</v>
      </c>
      <c r="AM17" s="284">
        <f>IF(ISNUMBER(((NºAsuntos!I17/NºAsuntos!G17)*11)/factor_trimestre),((NºAsuntos!I17/NºAsuntos!G17)*11)/factor_trimestre," - ")</f>
        <v>1.986062717770035</v>
      </c>
      <c r="AN17" s="267">
        <f>IF(ISNUMBER('Resol  Asuntos'!D17/NºAsuntos!G17),'Resol  Asuntos'!D17/NºAsuntos!G17," - ")</f>
        <v>0.13240418118466898</v>
      </c>
      <c r="AO17" s="268">
        <f>IF(ISNUMBER((NºAsuntos!C17+NºAsuntos!E17)/NºAsuntos!G17),(NºAsuntos!C17+NºAsuntos!E17)/NºAsuntos!G17," - ")</f>
        <v>1.970383275261324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v>
      </c>
      <c r="X18" s="240">
        <f>IF(ISNUMBER(Datos!Q18),Datos!Q18," - ")</f>
        <v>3</v>
      </c>
      <c r="Y18" s="374">
        <f t="shared" si="9"/>
        <v>48</v>
      </c>
      <c r="Z18" s="375" t="str">
        <f>IF(ISNUMBER(Datos!CC18),Datos!CC18," - ")</f>
        <v xml:space="preserve"> - </v>
      </c>
      <c r="AA18" s="372">
        <f>IF(ISNUMBER(Datos!L18),Datos!L18,"-")</f>
        <v>23</v>
      </c>
      <c r="AB18" s="374">
        <f>IF(ISNUMBER(Datos!R18),Datos!R18," - ")</f>
        <v>1</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0.97826086956521741</v>
      </c>
      <c r="AM18" s="284">
        <f>IF(ISNUMBER(((NºAsuntos!I18/NºAsuntos!G18)*11)/factor_trimestre),((NºAsuntos!I18/NºAsuntos!G18)*11)/factor_trimestre," - ")</f>
        <v>1.0222222222222221</v>
      </c>
      <c r="AN18" s="267">
        <f>IF(ISNUMBER('Resol  Asuntos'!D18/NºAsuntos!G18),'Resol  Asuntos'!D18/NºAsuntos!G18," - ")</f>
        <v>0.13333333333333333</v>
      </c>
      <c r="AO18" s="268">
        <f>IF(ISNUMBER((NºAsuntos!C18+NºAsuntos!E18)/NºAsuntos!G18),(NºAsuntos!C18+NºAsuntos!E18)/NºAsuntos!G18," - ")</f>
        <v>1.4666666666666666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536</v>
      </c>
      <c r="G23" s="1163">
        <f>SUBTOTAL(9,G16:G22)</f>
        <v>543</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619</v>
      </c>
      <c r="X23" s="1164">
        <f t="shared" si="14"/>
        <v>38</v>
      </c>
      <c r="Y23" s="1165">
        <f t="shared" si="14"/>
        <v>657</v>
      </c>
      <c r="Z23" s="1165">
        <f t="shared" si="14"/>
        <v>0</v>
      </c>
      <c r="AA23" s="1165">
        <f t="shared" si="14"/>
        <v>593</v>
      </c>
      <c r="AB23" s="1165">
        <f t="shared" si="14"/>
        <v>190</v>
      </c>
      <c r="AC23" s="1165">
        <f t="shared" si="14"/>
        <v>783</v>
      </c>
      <c r="AD23" s="1165">
        <f t="shared" si="14"/>
        <v>0</v>
      </c>
      <c r="AE23" s="1169">
        <f t="shared" si="14"/>
        <v>0</v>
      </c>
      <c r="AF23" s="1162">
        <f t="shared" si="14"/>
        <v>0</v>
      </c>
      <c r="AG23" s="1170">
        <f t="shared" si="14"/>
        <v>0</v>
      </c>
      <c r="AH23" s="1167">
        <f t="shared" si="14"/>
        <v>0</v>
      </c>
      <c r="AI23" s="1162">
        <f t="shared" si="14"/>
        <v>82</v>
      </c>
      <c r="AJ23" s="1164">
        <f t="shared" si="14"/>
        <v>0</v>
      </c>
      <c r="AK23" s="1167">
        <f t="shared" si="14"/>
        <v>0</v>
      </c>
      <c r="AL23" s="1171">
        <f>IF(ISNUMBER(NºAsuntos!G23/NºAsuntos!E23),NºAsuntos!G23/NºAsuntos!E23," - ")</f>
        <v>0.94648318042813451</v>
      </c>
      <c r="AM23" s="1171">
        <f>IF(ISNUMBER(((NºAsuntos!I23/NºAsuntos!G23)*11)/factor_trimestre),((NºAsuntos!I23/NºAsuntos!G23)*11)/factor_trimestre," - ")</f>
        <v>1.9159935379644588</v>
      </c>
      <c r="AN23" s="1172">
        <f>IF(ISNUMBER('Resol  Asuntos'!D23/NºAsuntos!G23),'Resol  Asuntos'!D23/NºAsuntos!G23," - ")</f>
        <v>0.13247172859450726</v>
      </c>
      <c r="AO23" s="1173">
        <f>IF(ISNUMBER((NºAsuntos!C23+NºAsuntos!E23)/NºAsuntos!G23),(NºAsuntos!C23+NºAsuntos!E23)/NºAsuntos!G23," - ")</f>
        <v>1.9337641357027464</v>
      </c>
      <c r="AP23" s="1174" t="str">
        <f t="shared" si="2"/>
        <v xml:space="preserve"> - </v>
      </c>
      <c r="AQ23" s="1174">
        <f>IF(ISNUMBER((H23-W23+K23)/(F23)),(H23-W23+K23)/(F23)," - ")</f>
        <v>-1.1548507462686568</v>
      </c>
      <c r="AR23" s="1175">
        <f>IF(ISNUMBER((Datos!P23-Datos!Q23)/(Datos!R23-Datos!P23+Datos!Q23)),(Datos!P23-Datos!Q23)/(Datos!R23-Datos!P23+Datos!Q23)," - ")</f>
        <v>3.825136612021858E-2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553</v>
      </c>
      <c r="G31" s="1118">
        <f t="shared" si="20"/>
        <v>560</v>
      </c>
      <c r="H31" s="1117">
        <f t="shared" si="20"/>
        <v>0</v>
      </c>
      <c r="I31" s="1119">
        <f t="shared" si="20"/>
        <v>0</v>
      </c>
      <c r="J31" s="1119">
        <f t="shared" si="20"/>
        <v>0</v>
      </c>
      <c r="K31" s="1180">
        <f t="shared" si="20"/>
        <v>0</v>
      </c>
      <c r="L31" s="1119">
        <f t="shared" si="20"/>
        <v>208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624</v>
      </c>
      <c r="X31" s="1118">
        <f t="shared" si="21"/>
        <v>158</v>
      </c>
      <c r="Y31" s="1125">
        <f t="shared" si="21"/>
        <v>782</v>
      </c>
      <c r="Z31" s="1125">
        <f t="shared" si="21"/>
        <v>0</v>
      </c>
      <c r="AA31" s="1125">
        <f t="shared" si="21"/>
        <v>608</v>
      </c>
      <c r="AB31" s="1125">
        <f t="shared" si="21"/>
        <v>2113</v>
      </c>
      <c r="AC31" s="1125">
        <f t="shared" si="21"/>
        <v>808</v>
      </c>
      <c r="AD31" s="1125">
        <f t="shared" si="21"/>
        <v>0</v>
      </c>
      <c r="AE31" s="1127">
        <f t="shared" si="21"/>
        <v>0</v>
      </c>
      <c r="AF31" s="1128">
        <f t="shared" si="21"/>
        <v>0</v>
      </c>
      <c r="AG31" s="1129">
        <f t="shared" si="21"/>
        <v>0</v>
      </c>
      <c r="AH31" s="1127">
        <f t="shared" si="21"/>
        <v>0</v>
      </c>
      <c r="AI31" s="1117">
        <f t="shared" si="21"/>
        <v>276</v>
      </c>
      <c r="AJ31" s="1117">
        <f t="shared" si="21"/>
        <v>0</v>
      </c>
      <c r="AK31" s="1127">
        <f t="shared" si="21"/>
        <v>0</v>
      </c>
      <c r="AL31" s="1183">
        <f>IF(ISNUMBER(NºAsuntos!G31/NºAsuntos!E31),NºAsuntos!G31/NºAsuntos!E31," - ")</f>
        <v>0.8907922912205567</v>
      </c>
      <c r="AM31" s="1184">
        <f>IF(ISNUMBER(((NºAsuntos!I31/NºAsuntos!G31)*11)/factor_trimestre),((NºAsuntos!I31/NºAsuntos!G31)*11)/factor_trimestre," - ")</f>
        <v>3.1842948717948718</v>
      </c>
      <c r="AN31" s="1184">
        <f>IF(ISNUMBER('Resol  Asuntos'!D31/NºAsuntos!G31),'Resol  Asuntos'!D31/NºAsuntos!G31," - ")</f>
        <v>0.22115384615384615</v>
      </c>
      <c r="AO31" s="1185">
        <f>IF(ISNUMBER((NºAsuntos!C31+NºAsuntos!E31)/NºAsuntos!G31),(NºAsuntos!C31+NºAsuntos!E31)/NºAsuntos!G31," - ")</f>
        <v>2.5801282051282053</v>
      </c>
      <c r="AP31" s="1186" t="str">
        <f t="shared" si="2"/>
        <v xml:space="preserve"> - </v>
      </c>
      <c r="AQ31" s="1187">
        <f>IF(OR(ISNUMBER(FIND("01",Criterios!A8,1)),ISNUMBER(FIND("02",Criterios!A8,1)),ISNUMBER(FIND("03",Criterios!A8,1)),ISNUMBER(FIND("04",Criterios!A8,1))),(I31-W31+K31)/(F31-K31),(H31-W31+K31)/(F31-K31))</f>
        <v>-1.1283905967450272</v>
      </c>
      <c r="AR31" s="1188">
        <f>IF(ISNUMBER((Datos!P31-Datos!Q31)/(Datos!R31-Datos!P31+Datos!Q31)),(Datos!P31-Datos!Q31)/(Datos!R31-Datos!P31+Datos!Q31)," - ")</f>
        <v>2.4236548715462918E-2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272.50590207675629</v>
      </c>
      <c r="G33" s="277">
        <f>IF(ISNUMBER(STDEV(G8:G30)),STDEV(G8:G30),"-")</f>
        <v>255.00196077677521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286.41794303995357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83.62501334614457</v>
      </c>
      <c r="AJ33" s="276">
        <f t="shared" si="25"/>
        <v>0</v>
      </c>
      <c r="AK33" s="278">
        <f t="shared" si="25"/>
        <v>0</v>
      </c>
      <c r="AL33" s="273">
        <f t="shared" si="25"/>
        <v>0.31435106212751662</v>
      </c>
      <c r="AM33" s="274">
        <f t="shared" si="25"/>
        <v>1.9316625652299448</v>
      </c>
      <c r="AN33" s="274">
        <f t="shared" si="25"/>
        <v>0.11770428880202609</v>
      </c>
      <c r="AO33" s="275">
        <f t="shared" si="25"/>
        <v>0.98285402463930105</v>
      </c>
      <c r="AP33" s="317" t="str">
        <f t="shared" si="25"/>
        <v>-</v>
      </c>
      <c r="AQ33" s="318">
        <f t="shared" si="25"/>
        <v>0.60863021124298633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VgITnKHvqau48ByERTvsowJJvrV/reQujG7HAUtw5u9FqQ2l6KeW7BbxUSSNrLE/3oAEcp/WLa6HseHPzFUw==" saltValue="URG1C4d0kqy1/KBJX21y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SIERO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0.41666666666666669</v>
      </c>
      <c r="E10" s="393">
        <f>IF(ISNUMBER((Datos!J10-Datos!T10)/Datos!T10),(Datos!J10-Datos!T10)/Datos!T10," - ")</f>
        <v>0</v>
      </c>
      <c r="F10" s="393">
        <f>IF(ISNUMBER((Datos!K10-Datos!U10)/Datos!U10),(Datos!K10-Datos!U10)/Datos!U10," - ")</f>
        <v>0.66666666666666663</v>
      </c>
      <c r="G10" s="394">
        <f>IF(ISNUMBER((Datos!L10-Datos!V10)/Datos!V10),(Datos!L10-Datos!V10)/Datos!V10," - ")</f>
        <v>0.25</v>
      </c>
      <c r="H10" s="244">
        <f>IF(ISNUMBER((Datos!M10-Datos!W10)/Datos!W10),(Datos!M10-Datos!W10)/Datos!W10," - ")</f>
        <v>-0.33333333333333331</v>
      </c>
      <c r="I10" s="395">
        <f>IF(ISNUMBER((Tasas!C10-Datos!BE10)/Datos!BE10),(Tasas!C10-Datos!BE10)/Datos!BE10," - ")</f>
        <v>-0.25</v>
      </c>
      <c r="J10" s="394">
        <f>IF(ISNUMBER((Tasas!D10-Datos!BF10)/Datos!BF10),(Tasas!D10-Datos!BF10)/Datos!BF10," - ")</f>
        <v>-0.6</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9.7142857142857142E-2</v>
      </c>
      <c r="I12" s="395">
        <f>IF(ISNUMBER((Tasas!C12-Datos!BE12)/Datos!BE12),(Tasas!C12-Datos!BE12)/Datos!BE12," - ")</f>
        <v>-0.15271891630382192</v>
      </c>
      <c r="J12" s="394">
        <f>IF(ISNUMBER((Tasas!D12-Datos!BF12)/Datos!BF12),(Tasas!D12-Datos!BF12)/Datos!BF12," - ")</f>
        <v>-0.12677266867210993</v>
      </c>
      <c r="K12" s="396">
        <f>IF(ISNUMBER((Tasas!E12-Datos!BG12)/Datos!BG12),(Tasas!E12-Datos!BG12)/Datos!BG12," - ")</f>
        <v>-0.11039419754640702</v>
      </c>
      <c r="M12" t="e">
        <f>IF(Monitorios="SI",Datos!CE12,0)</f>
        <v>#REF!</v>
      </c>
      <c r="N12" t="e">
        <f>IF(Monitorios="SI",Datos!CF12,0)</f>
        <v>#REF!</v>
      </c>
      <c r="O12" t="e">
        <f>IF(Monitorios="SI",Datos!CG12,0)</f>
        <v>#REF!</v>
      </c>
      <c r="P12" t="e">
        <f>IF(Monitorios="SI",Datos!CH12,0)</f>
        <v>#REF!</v>
      </c>
      <c r="Q12">
        <f>IF(J_V="SI",0,Datos!AG12)</f>
        <v>60</v>
      </c>
      <c r="R12">
        <f>IF(J_V="SI",0,Datos!AH12)</f>
        <v>46</v>
      </c>
      <c r="S12">
        <f>IF(J_V="SI",0,Datos!AI12)</f>
        <v>41</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8.98876404494382E-2</v>
      </c>
      <c r="I14" s="402">
        <f>IF(ISNUMBER((Tasas!C14-Datos!BE14)/Datos!BE14),(Tasas!C14-Datos!BE14)/Datos!BE14," - ")</f>
        <v>-0.15296448280741468</v>
      </c>
      <c r="J14" s="400">
        <f>IF(ISNUMBER((Tasas!D14-Datos!BF14)/Datos!BF14),(Tasas!D14-Datos!BF14)/Datos!BF14," - ")</f>
        <v>-0.13403448697566345</v>
      </c>
      <c r="K14" s="403">
        <f>IF(ISNUMBER((Tasas!E14-Datos!BG14)/Datos!BG14),(Tasas!E14-Datos!BG14)/Datos!BG14," - ")</f>
        <v>-0.11066748566748562</v>
      </c>
      <c r="M14" t="e">
        <f>IF(Monitorios="SI",Datos!CE14,0)</f>
        <v>#REF!</v>
      </c>
      <c r="N14" t="e">
        <f>IF(Monitorios="SI",Datos!CF14,0)</f>
        <v>#REF!</v>
      </c>
      <c r="O14" t="e">
        <f>IF(Monitorios="SI",Datos!CG14,0)</f>
        <v>#REF!</v>
      </c>
      <c r="P14" t="e">
        <f>IF(Monitorios="SI",Datos!CH14,0)</f>
        <v>#REF!</v>
      </c>
      <c r="Q14">
        <f>IF(J_V="SI",0,Datos!AG14)</f>
        <v>60</v>
      </c>
      <c r="R14">
        <f>IF(J_V="SI",0,Datos!AH14)</f>
        <v>46</v>
      </c>
      <c r="S14">
        <f>IF(J_V="SI",0,Datos!AI14)</f>
        <v>41</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-0.12833333333333333</v>
      </c>
      <c r="E17" s="393">
        <f>IF(ISNUMBER(
   IF(D_I="SI",(Datos!J17-Datos!T17)/Datos!T17,(Datos!J17+Datos!AD17-(Datos!T17+Datos!AL17))/(Datos!T17+Datos!AL17))
     ),IF(D_I="SI",(Datos!J17-Datos!T17)/Datos!T17,(Datos!J17+Datos!AD17-(Datos!T17+Datos!AL17))/(Datos!T17+Datos!AL17))," - ")</f>
        <v>8.7656529516994638E-2</v>
      </c>
      <c r="F17" s="393">
        <f>IF(ISNUMBER(
   IF(D_I="SI",(Datos!K17-Datos!U17)/Datos!U17,(Datos!K17+Datos!AE17-(Datos!U17+Datos!AM17))/(Datos!U17+Datos!AM17))
     ),IF(D_I="SI",(Datos!K17-Datos!U17)/Datos!U17,(Datos!K17+Datos!AE17-(Datos!U17+Datos!AM17))/(Datos!U17+Datos!AM17))," - ")</f>
        <v>-1.7391304347826088E-3</v>
      </c>
      <c r="G17" s="394">
        <f>IF(ISNUMBER(
   IF(D_I="SI",(Datos!L17-Datos!V17)/Datos!V17,(Datos!L17+Datos!AF17-(Datos!V17+Datos!AN17))/(Datos!V17+Datos!AN17))
     ),IF(D_I="SI",(Datos!L17-Datos!V17)/Datos!V17,(Datos!L17+Datos!AF17-(Datos!V17+Datos!AN17))/(Datos!V17+Datos!AN17))," - ")</f>
        <v>-3.87858347386172E-2</v>
      </c>
      <c r="H17" s="244">
        <f>IF(ISNUMBER((Datos!M17-Datos!W17)/Datos!W17),(Datos!M17-Datos!W17)/Datos!W17," - ")</f>
        <v>-0.12643678160919541</v>
      </c>
      <c r="I17" s="395">
        <f>IF(ISNUMBER((Tasas!C17-Datos!BE17)/Datos!BE17),(Tasas!C17-Datos!BE17)/Datos!BE17," - ")</f>
        <v>-3.7111245600531299E-2</v>
      </c>
      <c r="J17" s="394">
        <f>IF(ISNUMBER((Tasas!D17-Datos!BF17)/Datos!BF17),(Tasas!D17-Datos!BF17)/Datos!BF17," - ")</f>
        <v>-0.12491489446914177</v>
      </c>
      <c r="K17" s="396">
        <f>IF(ISNUMBER((Tasas!E17-Datos!BG17)/Datos!BG17),(Tasas!E17-Datos!BG17)/Datos!BG17," - ")</f>
        <v>-2.2458685698652826E-2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-0.81308411214953269</v>
      </c>
      <c r="E18" s="393">
        <f>IF(ISNUMBER(
   IF(D_I="SI",(Datos!J18-Datos!T18)/Datos!T18,(Datos!J18+Datos!AD18-(Datos!T18+Datos!AL18))/(Datos!T18+Datos!AL18))
     ),IF(D_I="SI",(Datos!J18-Datos!T18)/Datos!T18,(Datos!J18+Datos!AD18-(Datos!T18+Datos!AL18))/(Datos!T18+Datos!AL18))," - ")</f>
        <v>4.5454545454545456E-2</v>
      </c>
      <c r="F18" s="393">
        <f>IF(ISNUMBER(
   IF(D_I="SI",(Datos!K18-Datos!U18)/Datos!U18,(Datos!K18+Datos!AE18-(Datos!U18+Datos!AM18))/(Datos!U18+Datos!AM18))
     ),IF(D_I="SI",(Datos!K18-Datos!U18)/Datos!U18,(Datos!K18+Datos!AE18-(Datos!U18+Datos!AM18))/(Datos!U18+Datos!AM18))," - ")</f>
        <v>-0.33823529411764708</v>
      </c>
      <c r="G18" s="394">
        <f>IF(ISNUMBER(
   IF(D_I="SI",(Datos!L18-Datos!V18)/Datos!V18,(Datos!L18+Datos!AF18-(Datos!V18+Datos!AN18))/(Datos!V18+Datos!AN18))
     ),IF(D_I="SI",(Datos!L18-Datos!V18)/Datos!V18,(Datos!L18+Datos!AF18-(Datos!V18+Datos!AN18))/(Datos!V18+Datos!AN18))," - ")</f>
        <v>-0.73255813953488369</v>
      </c>
      <c r="H18" s="244">
        <f>IF(ISNUMBER((Datos!M18-Datos!W18)/Datos!W18),(Datos!M18-Datos!W18)/Datos!W18," - ")</f>
        <v>0</v>
      </c>
      <c r="I18" s="395">
        <f>IF(ISNUMBER((Tasas!C18-Datos!BE18)/Datos!BE18),(Tasas!C18-Datos!BE18)/Datos!BE18," - ")</f>
        <v>-0.59586563307493545</v>
      </c>
      <c r="J18" s="394">
        <f>IF(ISNUMBER((Tasas!D18-Datos!BF18)/Datos!BF18),(Tasas!D18-Datos!BF18)/Datos!BF18," - ")</f>
        <v>0.51111111111111096</v>
      </c>
      <c r="K18" s="396">
        <f>IF(ISNUMBER((Tasas!E18-Datos!BG18)/Datos!BG18),(Tasas!E18-Datos!BG18)/Datos!BG18," - ")</f>
        <v>-0.33951434878587206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-0.23196605374823195</v>
      </c>
      <c r="E23" s="399">
        <f>IF(ISNUMBER(
   IF(D_I="SI",(Datos!J23-Datos!T23)/Datos!T23,(Datos!J23+Datos!AD23-(Datos!T23+Datos!AL23))/(Datos!T23+Datos!AL23))
     ),IF(D_I="SI",(Datos!J23-Datos!T23)/Datos!T23,(Datos!J23+Datos!AD23-(Datos!T23+Datos!AL23))/(Datos!T23+Datos!AL23))," - ")</f>
        <v>8.45771144278607E-2</v>
      </c>
      <c r="F23" s="399">
        <f>IF(ISNUMBER(
   IF(D_I="SI",(Datos!K23-Datos!U23)/Datos!U23,(Datos!K23+Datos!AE23-(Datos!U23+Datos!AM23))/(Datos!U23+Datos!AM23))
     ),IF(D_I="SI",(Datos!K23-Datos!U23)/Datos!U23,(Datos!K23+Datos!AE23-(Datos!U23+Datos!AM23))/(Datos!U23+Datos!AM23))," - ")</f>
        <v>-3.7325038880248837E-2</v>
      </c>
      <c r="G23" s="400">
        <f>IF(ISNUMBER(
   IF(D_I="SI",(Datos!L23-Datos!V23)/Datos!V23,(Datos!L23+Datos!AF23-(Datos!V23+Datos!AN23))/(Datos!V23+Datos!AN23))
     ),IF(D_I="SI",(Datos!L23-Datos!V23)/Datos!V23,(Datos!L23+Datos!AF23-(Datos!V23+Datos!AN23))/(Datos!V23+Datos!AN23))," - ")</f>
        <v>-0.12665684830633284</v>
      </c>
      <c r="H23" s="401">
        <f>IF(ISNUMBER((Datos!M23-Datos!W23)/Datos!W23),(Datos!M23-Datos!W23)/Datos!W23," - ")</f>
        <v>-0.11827956989247312</v>
      </c>
      <c r="I23" s="402">
        <f>IF(ISNUMBER((Tasas!C23-Datos!BE23)/Datos!BE23),(Tasas!C23-Datos!BE23)/Datos!BE23," - ")</f>
        <v>-9.2795401390907958E-2</v>
      </c>
      <c r="J23" s="400">
        <f>IF(ISNUMBER((Tasas!D23-Datos!BF23)/Datos!BF23),(Tasas!D23-Datos!BF23)/Datos!BF23," - ")</f>
        <v>-8.4093317351955257E-2</v>
      </c>
      <c r="K23" s="403">
        <f>IF(ISNUMBER((Tasas!E23-Datos!BG23)/Datos!BG23),(Tasas!E23-Datos!BG23)/Datos!BG23," - ")</f>
        <v>-5.0831802093995473E-2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-7.9919069296914516E-2</v>
      </c>
      <c r="E31" s="409">
        <f>IF(ISNUMBER(
   IF(J_V="SI",(Datos!J31-Datos!T31)/Datos!T31,(Datos!J31+Datos!Z31-(Datos!T31+Datos!AH31))/(Datos!T31+Datos!AH31))
     ),IF(J_V="SI",(Datos!J31-Datos!T31)/Datos!T31,(Datos!J31+Datos!Z31-(Datos!T31+Datos!AH31))/(Datos!T31+Datos!AH31))," - ")</f>
        <v>0.18628281117696868</v>
      </c>
      <c r="F31" s="409">
        <f>IF(ISNUMBER(
   IF(J_V="SI",(Datos!K31-Datos!U31)/Datos!U31,(Datos!K31+Datos!AA31-(Datos!U31+Datos!AI31))/(Datos!U31+Datos!AI31))
     ),IF(J_V="SI",(Datos!K31-Datos!U31)/Datos!U31,(Datos!K31+Datos!AA31-(Datos!U31+Datos!AI31))/(Datos!U31+Datos!AI31))," - ")</f>
        <v>8.1455805892547667E-2</v>
      </c>
      <c r="G31" s="410">
        <f>IF(ISNUMBER(
   IF(J_V="SI",(Datos!L31-Datos!V31)/Datos!V31,(Datos!L31+Datos!AB31-(Datos!V31+Datos!AJ31))/(Datos!V31+Datos!AJ31))
     ),IF(J_V="SI",(Datos!L31-Datos!V31)/Datos!V31,(Datos!L31+Datos!AB31-(Datos!V31+Datos!AJ31))/(Datos!V31+Datos!AJ31))," - ")</f>
        <v>-1.4384920634920634E-2</v>
      </c>
      <c r="H31" s="411">
        <f>IF(ISNUMBER((Datos!M31-Datos!W31)/Datos!W31),(Datos!M31-Datos!W31)/Datos!W31," - ")</f>
        <v>1.8450184501845018E-2</v>
      </c>
      <c r="I31" s="408">
        <f>IF(ISNUMBER((Tasas!C31-Datos!BE31)/Datos!BE31),(Tasas!C31-Datos!BE31)/Datos!BE31," - ")</f>
        <v>-8.8621953856328803E-2</v>
      </c>
      <c r="J31" s="409">
        <f>IF(ISNUMBER((Tasas!D31-Datos!BF31)/Datos!BF31),(Tasas!D31-Datos!BF31)/Datos!BF31," - ")</f>
        <v>-7.1958041958041952E-2</v>
      </c>
      <c r="K31" s="410">
        <f>IF(ISNUMBER((Tasas!E31-Datos!BG31)/Datos!BG31),(Tasas!E31-Datos!BG31)/Datos!BG31," - ")</f>
        <v>-5.7166577353404399E-2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0.50393104287044754</v>
      </c>
      <c r="E33" s="303">
        <f t="shared" si="1"/>
        <v>4.1052950374644973E-2</v>
      </c>
      <c r="F33" s="303">
        <f t="shared" si="1"/>
        <v>0.42399308058682272</v>
      </c>
      <c r="G33" s="304">
        <f t="shared" si="1"/>
        <v>0.41300179962563499</v>
      </c>
      <c r="H33" s="310">
        <f t="shared" si="1"/>
        <v>0.16316941051733411</v>
      </c>
      <c r="I33" s="302">
        <f t="shared" si="1"/>
        <v>0.2002883793586526</v>
      </c>
      <c r="J33" s="303">
        <f t="shared" si="1"/>
        <v>0.35381392388102145</v>
      </c>
      <c r="K33" s="304">
        <f t="shared" si="1"/>
        <v>0.11567500461467196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LWFszPC5P/3TRbbCVU2YnYHDF8rd+I5PX8fNmAc3UNjtqX2R6v+LDeTuP71F+XxU7LwskmeXopQv+AO1duaGQ==" saltValue="uO3qmhxvVz17AyoWW5pz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